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b Tracker" sheetId="1" state="visible" r:id="rId3"/>
    <sheet name="Round Progression" sheetId="2" state="visible" r:id="rId4"/>
    <sheet name="Body Measurements" sheetId="3" state="visible" r:id="rId5"/>
    <sheet name="Vibe Scores" sheetId="4" state="visible" r:id="rId6"/>
    <sheet name="Streak" sheetId="5" state="visible" r:id="rId7"/>
    <sheet name="Config" sheetId="6" state="hidden" r:id="rId8"/>
  </sheets>
  <definedNames>
    <definedName function="false" hidden="false" name="CountryList" vbProcedure="false">Config!$A$3:$A$11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<sst xmlns="http://schemas.openxmlformats.org/spreadsheetml/2006/main" count="746" uniqueCount="368">
  <si>
    <t xml:space="preserve">SKIP IT OUT  ·  90-DAY LAB PANEL TRACKER</t>
  </si>
  <si>
    <t xml:space="preserve">Enter your results below. 🟢 = free through your health system  ·  🟡 = Go Deeper, private labs.</t>
  </si>
  <si>
    <t xml:space="preserve">📅  DAY 0 START:</t>
  </si>
  <si>
    <t xml:space="preserve">🌍  COUNTRY:</t>
  </si>
  <si>
    <t xml:space="preserve">🇦🇺  Australia</t>
  </si>
  <si>
    <t xml:space="preserve">CATEGORY</t>
  </si>
  <si>
    <t xml:space="preserve">TEST NAME</t>
  </si>
  <si>
    <t xml:space="preserve">UNIT</t>
  </si>
  <si>
    <t xml:space="preserve">OPTIMAL RANGE</t>
  </si>
  <si>
    <t xml:space="preserve">DAY 0</t>
  </si>
  <si>
    <t xml:space="preserve">DAY 30</t>
  </si>
  <si>
    <t xml:space="preserve">DAY 60</t>
  </si>
  <si>
    <t xml:space="preserve">DAY 90</t>
  </si>
  <si>
    <t xml:space="preserve">Δ D0→D90</t>
  </si>
  <si>
    <t xml:space="preserve">DIRECTION</t>
  </si>
  <si>
    <t xml:space="preserve">TIER</t>
  </si>
  <si>
    <t xml:space="preserve">IN YOUR COUNTRY</t>
  </si>
  <si>
    <t xml:space="preserve">WHY IT MATTERS</t>
  </si>
  <si>
    <t xml:space="preserve">code</t>
  </si>
  <si>
    <t xml:space="preserve">CHECKPOINT DATE →</t>
  </si>
  <si>
    <t xml:space="preserve">🩸 BLOOD — FOUNDATION</t>
  </si>
  <si>
    <t xml:space="preserve">FBE — Full Blood Examination (inc. Differential)</t>
  </si>
  <si>
    <t xml:space="preserve">Red cells, white cells, platelets, lymphocytes</t>
  </si>
  <si>
    <t xml:space="preserve">STD</t>
  </si>
  <si>
    <t xml:space="preserve">LFTs — Liver Function Tests (ALT, AST, GGT)</t>
  </si>
  <si>
    <t xml:space="preserve">U/L</t>
  </si>
  <si>
    <t xml:space="preserve">See ranges</t>
  </si>
  <si>
    <t xml:space="preserve">Organ health + GGT is most sensitive liver enzyme for toxin exposure</t>
  </si>
  <si>
    <t xml:space="preserve">UEC — Urea, Electrolytes, Creatinine</t>
  </si>
  <si>
    <t xml:space="preserve">Kidney function and electrolyte balance</t>
  </si>
  <si>
    <t xml:space="preserve">HbA1c</t>
  </si>
  <si>
    <t xml:space="preserve">%</t>
  </si>
  <si>
    <t xml:space="preserve">&lt; 5.7%</t>
  </si>
  <si>
    <t xml:space="preserve">90-day blood sugar average — perfectly matches experiment length</t>
  </si>
  <si>
    <t xml:space="preserve">Fasting Glucose</t>
  </si>
  <si>
    <t xml:space="preserve">mmol/L</t>
  </si>
  <si>
    <t xml:space="preserve">4.0–5.5</t>
  </si>
  <si>
    <t xml:space="preserve">Metabolic baseline</t>
  </si>
  <si>
    <t xml:space="preserve">Fasting Insulin</t>
  </si>
  <si>
    <t xml:space="preserve">mU/L</t>
  </si>
  <si>
    <t xml:space="preserve">&lt; 10</t>
  </si>
  <si>
    <t xml:space="preserve">More sensitive than glucose alone for metabolic health</t>
  </si>
  <si>
    <t xml:space="preserve">JUST</t>
  </si>
  <si>
    <t xml:space="preserve">Fasting Lipids (Full Panel)</t>
  </si>
  <si>
    <t xml:space="preserve">Total cholesterol, HDL, LDL, triglycerides</t>
  </si>
  <si>
    <t xml:space="preserve">Ferritin + Iron Studies</t>
  </si>
  <si>
    <t xml:space="preserve">µg/L</t>
  </si>
  <si>
    <t xml:space="preserve">30–150</t>
  </si>
  <si>
    <t xml:space="preserve">Iron storage — low = fatigue, elevated = inflammation</t>
  </si>
  <si>
    <t xml:space="preserve">Calcium + Phosphate</t>
  </si>
  <si>
    <t xml:space="preserve">2.10–2.60</t>
  </si>
  <si>
    <t xml:space="preserve">MBS-listed for cancer patients. Important post-treatment.</t>
  </si>
  <si>
    <t xml:space="preserve">Uric Acid</t>
  </si>
  <si>
    <t xml:space="preserve">0.15–0.35</t>
  </si>
  <si>
    <t xml:space="preserve">Metabolic health. Elevated = inflammation + oxidative stress.</t>
  </si>
  <si>
    <t xml:space="preserve">LDH (Lactate Dehydrogenase)</t>
  </si>
  <si>
    <t xml:space="preserve">120–246</t>
  </si>
  <si>
    <t xml:space="preserve">Tissue damage + cell turnover. Oncology follow-up standard.</t>
  </si>
  <si>
    <t xml:space="preserve">Homocysteine</t>
  </si>
  <si>
    <t xml:space="preserve">µmol/L</t>
  </si>
  <si>
    <t xml:space="preserve">Methylation marker. Shows if B12 + folate are working.</t>
  </si>
  <si>
    <t xml:space="preserve">Urinalysis (Dipstick)</t>
  </si>
  <si>
    <t xml:space="preserve">Normal</t>
  </si>
  <si>
    <t xml:space="preserve">Kidney, hydration, pH. Complements water target.</t>
  </si>
  <si>
    <t xml:space="preserve">ApoB (Apolipoprotein B)</t>
  </si>
  <si>
    <t xml:space="preserve">g/L</t>
  </si>
  <si>
    <t xml:space="preserve">&lt; 0.9</t>
  </si>
  <si>
    <t xml:space="preserve">True cardiovascular risk marker beyond LDL.</t>
  </si>
  <si>
    <t xml:space="preserve">PRIV</t>
  </si>
  <si>
    <t xml:space="preserve">🔥 INFLAMMATION — KEY MARKERS</t>
  </si>
  <si>
    <t xml:space="preserve">hs-CRP (High-Sensitivity CRP)</t>
  </si>
  <si>
    <t xml:space="preserve">mg/L</t>
  </si>
  <si>
    <t xml:space="preserve">&lt; 1.0</t>
  </si>
  <si>
    <t xml:space="preserve">THE inflammation marker. Directly lowered by exercise.</t>
  </si>
  <si>
    <t xml:space="preserve">ESR (Erythrocyte Sedimentation Rate)</t>
  </si>
  <si>
    <t xml:space="preserve">mm/hr</t>
  </si>
  <si>
    <t xml:space="preserve">&lt; 20</t>
  </si>
  <si>
    <t xml:space="preserve">Second inflammation marker. Complements hs-CRP. Bulk-billed.</t>
  </si>
  <si>
    <t xml:space="preserve">IL-6 (Interleukin-6)</t>
  </si>
  <si>
    <t xml:space="preserve">pg/mL</t>
  </si>
  <si>
    <t xml:space="preserve">&lt; 7</t>
  </si>
  <si>
    <t xml:space="preserve">Pro-inflammatory cytokine elevated in BC survivors.</t>
  </si>
  <si>
    <t xml:space="preserve">Serum Amyloid A (SAA)</t>
  </si>
  <si>
    <t xml:space="preserve">Predicts BC survival outcomes alongside CRP.</t>
  </si>
  <si>
    <t xml:space="preserve">Adiponectin</t>
  </si>
  <si>
    <t xml:space="preserve">µg/mL</t>
  </si>
  <si>
    <t xml:space="preserve">&gt; 10</t>
  </si>
  <si>
    <t xml:space="preserve">Anti-inflammatory hormone — rises with healthy lifestyle.</t>
  </si>
  <si>
    <t xml:space="preserve">Myeloperoxidase (MPO)</t>
  </si>
  <si>
    <t xml:space="preserve">pmol/L</t>
  </si>
  <si>
    <t xml:space="preserve">&lt; 620</t>
  </si>
  <si>
    <t xml:space="preserve">Oxidative stress linked to fatigue in BC survivors.</t>
  </si>
  <si>
    <t xml:space="preserve">⚡ HORMONES &amp; THYROID</t>
  </si>
  <si>
    <t xml:space="preserve">TSH</t>
  </si>
  <si>
    <t xml:space="preserve">mIU/L</t>
  </si>
  <si>
    <t xml:space="preserve">0.4–4.0</t>
  </si>
  <si>
    <t xml:space="preserve">Thyroid function — request all 3, not just TSH.</t>
  </si>
  <si>
    <t xml:space="preserve">Free T3</t>
  </si>
  <si>
    <t xml:space="preserve">3.5–6.5</t>
  </si>
  <si>
    <t xml:space="preserve">Active thyroid hormone. GPs often skip this.</t>
  </si>
  <si>
    <t xml:space="preserve">Free T4</t>
  </si>
  <si>
    <t xml:space="preserve">10–20</t>
  </si>
  <si>
    <t xml:space="preserve">Thyroid output.</t>
  </si>
  <si>
    <t xml:space="preserve">Thyroid Antibodies (TPO-Ab, TgAb)</t>
  </si>
  <si>
    <t xml:space="preserve">Negative</t>
  </si>
  <si>
    <t xml:space="preserve">Rules out autoimmune thyroid — commonly missed.</t>
  </si>
  <si>
    <t xml:space="preserve">Cortisol (AM fasting)</t>
  </si>
  <si>
    <t xml:space="preserve">nmol/L</t>
  </si>
  <si>
    <t xml:space="preserve">170–500</t>
  </si>
  <si>
    <t xml:space="preserve">Stress hormone. Normalises with 90 days of exercise.</t>
  </si>
  <si>
    <t xml:space="preserve">Oestradiol + FSH</t>
  </si>
  <si>
    <t xml:space="preserve">Post-menopausal range</t>
  </si>
  <si>
    <t xml:space="preserve">Hormonal baseline post-BC treatment context.</t>
  </si>
  <si>
    <t xml:space="preserve">DHEA-S</t>
  </si>
  <si>
    <t xml:space="preserve">Age-dependent</t>
  </si>
  <si>
    <t xml:space="preserve">Adrenal reserve. Depleted by chronic stress.</t>
  </si>
  <si>
    <t xml:space="preserve">🌱 NUTRIENTS &amp; VITAMINS</t>
  </si>
  <si>
    <t xml:space="preserve">Vitamin D (25-OH)</t>
  </si>
  <si>
    <t xml:space="preserve">75–150</t>
  </si>
  <si>
    <t xml:space="preserve">Immune modulator critical for BC survivors.</t>
  </si>
  <si>
    <t xml:space="preserve">Vitamin B12</t>
  </si>
  <si>
    <t xml:space="preserve">&gt; 300</t>
  </si>
  <si>
    <t xml:space="preserve">Methylation, energy, nerve health.</t>
  </si>
  <si>
    <t xml:space="preserve">Folate</t>
  </si>
  <si>
    <t xml:space="preserve">&gt; 15</t>
  </si>
  <si>
    <t xml:space="preserve">Works with B12 for methylation.</t>
  </si>
  <si>
    <t xml:space="preserve">Zinc</t>
  </si>
  <si>
    <t xml:space="preserve">11–23</t>
  </si>
  <si>
    <t xml:space="preserve">Immune + lymphatic. BC treatment depletes zinc.</t>
  </si>
  <si>
    <t xml:space="preserve">Copper (with Zn:Cu ratio)</t>
  </si>
  <si>
    <t xml:space="preserve">12–24</t>
  </si>
  <si>
    <t xml:space="preserve">Always test with zinc to maintain ratio.</t>
  </si>
  <si>
    <t xml:space="preserve">Magnesium — RBC (not serum)</t>
  </si>
  <si>
    <t xml:space="preserve">1.65–2.55</t>
  </si>
  <si>
    <t xml:space="preserve">RBC reflects true cellular level. Serum is unreliable.</t>
  </si>
  <si>
    <t xml:space="preserve">Omega-3 Index</t>
  </si>
  <si>
    <t xml:space="preserve">&gt; 8%</t>
  </si>
  <si>
    <t xml:space="preserve">Cell membrane health. Key anti-inflammatory baseline.</t>
  </si>
  <si>
    <t xml:space="preserve">🫁 LYMPHATIC &amp; IMMUNE</t>
  </si>
  <si>
    <t xml:space="preserve">FBE Differential — Lymphocyte Count</t>
  </si>
  <si>
    <t xml:space="preserve">×10⁹/L</t>
  </si>
  <si>
    <t xml:space="preserve">1.0–4.0</t>
  </si>
  <si>
    <t xml:space="preserve">Immune competence with altered lymphatic architecture.</t>
  </si>
  <si>
    <t xml:space="preserve">NK Cell Count + Lymphocyte Subsets</t>
  </si>
  <si>
    <t xml:space="preserve">cells/µL</t>
  </si>
  <si>
    <t xml:space="preserve">&gt; 100</t>
  </si>
  <si>
    <t xml:space="preserve">Cancer surveillance cells. Boosted by exercise.</t>
  </si>
  <si>
    <t xml:space="preserve">Immunoglobulins (IgG, IgA, IgM)</t>
  </si>
  <si>
    <t xml:space="preserve">Immune antibody capacity.</t>
  </si>
  <si>
    <t xml:space="preserve">EBV Panel (VCA IgG, VCA IgM, EBNA, EA)</t>
  </si>
  <si>
    <t xml:space="preserve">EA negative</t>
  </si>
  <si>
    <t xml:space="preserve">95% carry EBV. EA+ = reactivation. NK cells are primary defence.</t>
  </si>
  <si>
    <t xml:space="preserve">Tumour Markers: CA 15-3</t>
  </si>
  <si>
    <t xml:space="preserve">U/mL</t>
  </si>
  <si>
    <t xml:space="preserve">&lt; 30</t>
  </si>
  <si>
    <t xml:space="preserve">Most BC-specific marker. Raised in 63% metastatic BC. MBS 66650.</t>
  </si>
  <si>
    <t xml:space="preserve">Tumour Markers: CEA</t>
  </si>
  <si>
    <t xml:space="preserve">ng/mL</t>
  </si>
  <si>
    <t xml:space="preserve">&lt; 5</t>
  </si>
  <si>
    <t xml:space="preserve">General tumour marker. Adds coverage alongside CA 15-3.</t>
  </si>
  <si>
    <t xml:space="preserve">Tumour Markers: CA-125</t>
  </si>
  <si>
    <t xml:space="preserve">&lt; 35</t>
  </si>
  <si>
    <t xml:space="preserve">Frequently raised in triple-negative BC. Panel of 3 detects recurrence in ~80%.</t>
  </si>
  <si>
    <t xml:space="preserve">☠️ HEAVY METALS &amp; TOXINS</t>
  </si>
  <si>
    <t xml:space="preserve">Urine Toxic Metals — 14 panel</t>
  </si>
  <si>
    <t xml:space="preserve">Lead, mercury, arsenic, cadmium. Baseline before sweat protocol.</t>
  </si>
  <si>
    <t xml:space="preserve">Blood Metals (Pb, Hg, As, Cd)</t>
  </si>
  <si>
    <t xml:space="preserve">Blood levels complement urine metals.</t>
  </si>
  <si>
    <t xml:space="preserve">🧪 ENVIRONMENTAL LOAD</t>
  </si>
  <si>
    <t xml:space="preserve">BPA + Phthalates (Urine)</t>
  </si>
  <si>
    <t xml:space="preserve">Low/undetectable</t>
  </si>
  <si>
    <t xml:space="preserve">Endocrine disruptors. Sweat = documented elimination pathway.</t>
  </si>
  <si>
    <t xml:space="preserve">Glyphosate (Urine)</t>
  </si>
  <si>
    <t xml:space="preserve">Undetectable</t>
  </si>
  <si>
    <t xml:space="preserve">Probable carcinogen (WHO IARC). Accumulates via non-organic grain.</t>
  </si>
  <si>
    <t xml:space="preserve">PFAS Panel (Forever Chemicals)</t>
  </si>
  <si>
    <t xml:space="preserve">Low</t>
  </si>
  <si>
    <t xml:space="preserve">Persistent environmental toxins. Endocrine disruptors.</t>
  </si>
  <si>
    <t xml:space="preserve">🪱 GUT ECOSYSTEM</t>
  </si>
  <si>
    <t xml:space="preserve">CDSA — Comprehensive Digestive Stool Analysis</t>
  </si>
  <si>
    <t xml:space="preserve">Report</t>
  </si>
  <si>
    <t xml:space="preserve">Full gut ecosystem snapshot. Available through Nutripath/Healthscope.</t>
  </si>
  <si>
    <t xml:space="preserve">PCR Multiplex Stool Panel</t>
  </si>
  <si>
    <t xml:space="preserve">Parasite, bacteria, yeast detection.</t>
  </si>
  <si>
    <t xml:space="preserve">Zonulin (stool or blood)</t>
  </si>
  <si>
    <t xml:space="preserve">&lt; 107</t>
  </si>
  <si>
    <t xml:space="preserve">Intestinal permeability / leaky gut marker.</t>
  </si>
  <si>
    <t xml:space="preserve">YOUR 90-DAY TREND</t>
  </si>
  <si>
    <t xml:space="preserve">Choose any marker from the drop-down and the chart below redraws. This is the picture your Day 0 self needs to see.</t>
  </si>
  <si>
    <t xml:space="preserve">PICK A MARKER:</t>
  </si>
  <si>
    <t xml:space="preserve">CHECKPOINT</t>
  </si>
  <si>
    <t xml:space="preserve">Day 0</t>
  </si>
  <si>
    <t xml:space="preserve">Day 30</t>
  </si>
  <si>
    <t xml:space="preserve">Day 60</t>
  </si>
  <si>
    <t xml:space="preserve">Day 90</t>
  </si>
  <si>
    <t xml:space="preserve">RESULT</t>
  </si>
  <si>
    <t xml:space="preserve">SKIP IT OUT  ·  FOUR ROUNDS  ·  ONE YEAR OF DATA</t>
  </si>
  <si>
    <t xml:space="preserve">Each round is 90 days. Every round’s Day 90 result becomes the next round’s Day 0 baseline — those cells are formulas, so you never enter the same number twice.</t>
  </si>
  <si>
    <t xml:space="preserve">ROUND 1 START:</t>
  </si>
  <si>
    <t xml:space="preserve">← set on the Lab Tracker tab</t>
  </si>
  <si>
    <t xml:space="preserve">ROUND 1</t>
  </si>
  <si>
    <t xml:space="preserve">ROUND 2</t>
  </si>
  <si>
    <t xml:space="preserve">ROUND 3</t>
  </si>
  <si>
    <t xml:space="preserve">ROUND 4</t>
  </si>
  <si>
    <t xml:space="preserve">D0</t>
  </si>
  <si>
    <t xml:space="preserve">D30</t>
  </si>
  <si>
    <t xml:space="preserve">D60</t>
  </si>
  <si>
    <t xml:space="preserve">D90</t>
  </si>
  <si>
    <t xml:space="preserve">Δ YEAR</t>
  </si>
  <si>
    <t xml:space="preserve">Shaded Day 0 columns are carried forward automatically from the previous round’s Day 90 — do not type over them.</t>
  </si>
  <si>
    <t xml:space="preserve">ONE YEAR OF DATA — SIXTEEN POINTS</t>
  </si>
  <si>
    <t xml:space="preserve">Choose a marker and watch a year of it. Four rounds, sixteen draws — this is the chart that tells the whole story at a glance.</t>
  </si>
  <si>
    <t xml:space="preserve">R1 D0</t>
  </si>
  <si>
    <t xml:space="preserve">R2 D0</t>
  </si>
  <si>
    <t xml:space="preserve">R3 D0</t>
  </si>
  <si>
    <t xml:space="preserve">R4 D0</t>
  </si>
  <si>
    <t xml:space="preserve">SKIP IT OUT — BODY MEASUREMENTS &amp; LYMPHEDEMA SURVEILLANCE</t>
  </si>
  <si>
    <t xml:space="preserve">⚠ If surgery side exceeds reference side by &gt;1.5cm at any point, consult your lymphoedema physiotherapist.</t>
  </si>
  <si>
    <t xml:space="preserve">MEASUREMENT</t>
  </si>
  <si>
    <t xml:space="preserve">Δ (D0→D90)</t>
  </si>
  <si>
    <t xml:space="preserve">NOTES</t>
  </si>
  <si>
    <t xml:space="preserve">📏 GENERAL</t>
  </si>
  <si>
    <t xml:space="preserve">Weight</t>
  </si>
  <si>
    <t xml:space="preserve">kg</t>
  </si>
  <si>
    <t xml:space="preserve">Morning, before food</t>
  </si>
  <si>
    <t xml:space="preserve">Body Fat %</t>
  </si>
  <si>
    <t xml:space="preserve">DEXA, smart scale, or skinfold calipers</t>
  </si>
  <si>
    <t xml:space="preserve">Waist</t>
  </si>
  <si>
    <t xml:space="preserve">cm</t>
  </si>
  <si>
    <t xml:space="preserve">At navel, exhale gently</t>
  </si>
  <si>
    <t xml:space="preserve">Hips</t>
  </si>
  <si>
    <t xml:space="preserve">Widest point</t>
  </si>
  <si>
    <t xml:space="preserve">Chest</t>
  </si>
  <si>
    <t xml:space="preserve">At fullest point, arms relaxed</t>
  </si>
  <si>
    <t xml:space="preserve">Resting Heart Rate</t>
  </si>
  <si>
    <t xml:space="preserve">bpm</t>
  </si>
  <si>
    <t xml:space="preserve">Via wearable or manual — first thing AM</t>
  </si>
  <si>
    <t xml:space="preserve">Blood Pressure (systolic/diastolic)</t>
  </si>
  <si>
    <t xml:space="preserve">mmHg</t>
  </si>
  <si>
    <t xml:space="preserve">Seated, rested 5 min</t>
  </si>
  <si>
    <t xml:space="preserve">🦾 LYMPHEDEMA SURVEILLANCE — SURGERY SIDE</t>
  </si>
  <si>
    <t xml:space="preserve">Surgery Side — at elbow</t>
  </si>
  <si>
    <t xml:space="preserve">Tape snug, not tight. Arm/leg relaxed.</t>
  </si>
  <si>
    <t xml:space="preserve">Surgery Side — mid point</t>
  </si>
  <si>
    <t xml:space="preserve">Halfway between joints</t>
  </si>
  <si>
    <t xml:space="preserve">💪 LYMPHEDEMA SURVEILLANCE — REFERENCE SIDE</t>
  </si>
  <si>
    <t xml:space="preserve">Reference Side — at elbow</t>
  </si>
  <si>
    <t xml:space="preserve">Compare with surgery side</t>
  </si>
  <si>
    <t xml:space="preserve">Reference Side — mid point</t>
  </si>
  <si>
    <t xml:space="preserve">📊 CALCULATED</t>
  </si>
  <si>
    <t xml:space="preserve">Difference — elbow</t>
  </si>
  <si>
    <t xml:space="preserve">Auto-calculated: surgery - reference</t>
  </si>
  <si>
    <t xml:space="preserve">Difference — mid point</t>
  </si>
  <si>
    <t xml:space="preserve">Waist:Hip Ratio</t>
  </si>
  <si>
    <t xml:space="preserve">Auto-calculated: waist ÷ hips</t>
  </si>
  <si>
    <t xml:space="preserve">SKIP IT OUT — VIBE CHECK-IN SCORES</t>
  </si>
  <si>
    <t xml:space="preserve">QUESTION</t>
  </si>
  <si>
    <t xml:space="preserve">TREND</t>
  </si>
  <si>
    <t xml:space="preserve">⚡ Energy</t>
  </si>
  <si>
    <t xml:space="preserve">Score 1–5</t>
  </si>
  <si>
    <t xml:space="preserve">🌙 Sleep</t>
  </si>
  <si>
    <t xml:space="preserve">🫃 Gut Health</t>
  </si>
  <si>
    <t xml:space="preserve">🧠 Mood</t>
  </si>
  <si>
    <t xml:space="preserve">🏃 Body</t>
  </si>
  <si>
    <t xml:space="preserve">🦾 Surgery Side</t>
  </si>
  <si>
    <t xml:space="preserve">🧴 Skin</t>
  </si>
  <si>
    <t xml:space="preserve">💧 Hydration</t>
  </si>
  <si>
    <t xml:space="preserve">TOTAL VIBE SCORE</t>
  </si>
  <si>
    <t xml:space="preserve">/40</t>
  </si>
  <si>
    <t xml:space="preserve">PERCENTAGE</t>
  </si>
  <si>
    <t xml:space="preserve">/100%</t>
  </si>
  <si>
    <t xml:space="preserve">SKIP IT OUT — 90-DAY STREAK TRACKER</t>
  </si>
  <si>
    <t xml:space="preserve">START DATE →</t>
  </si>
  <si>
    <t xml:space="preserve">Mark each day with ✓ when you complete your circuit. Leave blank for rest days. The start date is set on the Lab Tracker tab and flows through to every sheet.</t>
  </si>
  <si>
    <t xml:space="preserve">DAY</t>
  </si>
  <si>
    <t xml:space="preserve">DATE</t>
  </si>
  <si>
    <t xml:space="preserve">DONE?</t>
  </si>
  <si>
    <t xml:space="preserve">PHASE</t>
  </si>
  <si>
    <t xml:space="preserve">FASTED?</t>
  </si>
  <si>
    <t xml:space="preserve">CUMULATIVE</t>
  </si>
  <si>
    <t xml:space="preserve">Foundation</t>
  </si>
  <si>
    <t xml:space="preserve">⭐ Foundation — DAY 30</t>
  </si>
  <si>
    <t xml:space="preserve">Build</t>
  </si>
  <si>
    <t xml:space="preserve">⭐ Build — DAY 60</t>
  </si>
  <si>
    <t xml:space="preserve">Peak</t>
  </si>
  <si>
    <t xml:space="preserve">⭐ Peak — DAY 90</t>
  </si>
  <si>
    <t xml:space="preserve">COUNTRY LOOKUP — do not delete. The Lab Tracker reads from this sheet.</t>
  </si>
  <si>
    <t xml:space="preserve">Country</t>
  </si>
  <si>
    <t xml:space="preserve">Code</t>
  </si>
  <si>
    <t xml:space="preserve">Public system</t>
  </si>
  <si>
    <t xml:space="preserve">Standard</t>
  </si>
  <si>
    <t xml:space="preserve">With justification</t>
  </si>
  <si>
    <t xml:space="preserve">Private</t>
  </si>
  <si>
    <t xml:space="preserve">Ordering tip</t>
  </si>
  <si>
    <t xml:space="preserve">Private labs</t>
  </si>
  <si>
    <t xml:space="preserve">Free tier label</t>
  </si>
  <si>
    <t xml:space="preserve">AU</t>
  </si>
  <si>
    <t xml:space="preserve">Medicare</t>
  </si>
  <si>
    <t xml:space="preserve">Bulk-billed via GP or specialist</t>
  </si>
  <si>
    <t xml:space="preserve">Bulk-billed — note cancer history as justification</t>
  </si>
  <si>
    <t xml:space="preserve">Private lab, out of pocket</t>
  </si>
  <si>
    <t xml:space="preserve">Start with your oncologist or specialist — specialist requests are not coned, so the whole panel fits on one form. If you go via a GP, a list this size may need splitting across two or three appointments. If a GP declines, ask for a referral to your oncologist.</t>
  </si>
  <si>
    <t xml:space="preserve">i-screen · Nutripath · iMedical</t>
  </si>
  <si>
    <t xml:space="preserve">Free — Medicare</t>
  </si>
  <si>
    <t xml:space="preserve">🇬🇧  United Kingdom</t>
  </si>
  <si>
    <t xml:space="preserve">UK</t>
  </si>
  <si>
    <t xml:space="preserve">NHS</t>
  </si>
  <si>
    <t xml:space="preserve">Free via GP on the NHS</t>
  </si>
  <si>
    <t xml:space="preserve">NHS with clinical justification — may be declined</t>
  </si>
  <si>
    <t xml:space="preserve">NHS GPs order what is clinically indicated. If a test is declined, ask for the reason in writing — then decide whether to go private for that one.</t>
  </si>
  <si>
    <t xml:space="preserve">Medichecks · Thriva · Blue Horizon</t>
  </si>
  <si>
    <t xml:space="preserve">Free — NHS</t>
  </si>
  <si>
    <t xml:space="preserve">🇳🇿  New Zealand</t>
  </si>
  <si>
    <t xml:space="preserve">NZ</t>
  </si>
  <si>
    <t xml:space="preserve">Public Health</t>
  </si>
  <si>
    <t xml:space="preserve">Free with GP referral</t>
  </si>
  <si>
    <t xml:space="preserve">Funded with clinical justification — confirm first</t>
  </si>
  <si>
    <t xml:space="preserve">Community lab testing is publicly funded with a GP referral. Your GP decides what is clinically indicated — take the panel list to the appointment.</t>
  </si>
  <si>
    <t xml:space="preserve">Labtests · Awanui Labs</t>
  </si>
  <si>
    <t xml:space="preserve">Free — Public Health</t>
  </si>
  <si>
    <t xml:space="preserve">🇨🇦  Canada</t>
  </si>
  <si>
    <t xml:space="preserve">CA</t>
  </si>
  <si>
    <t xml:space="preserve">Provincial Health</t>
  </si>
  <si>
    <t xml:space="preserve">Covered with a physician order</t>
  </si>
  <si>
    <t xml:space="preserve">Coverage varies by province — confirm before the draw</t>
  </si>
  <si>
    <t xml:space="preserve">Coverage differs province to province. Some tests covered in one province are billed in another — confirm with the lab before your draw, not after.</t>
  </si>
  <si>
    <t xml:space="preserve">LifeLabs · Dynacare</t>
  </si>
  <si>
    <t xml:space="preserve">Covered — Provincial</t>
  </si>
  <si>
    <t xml:space="preserve">🇮🇪  Ireland</t>
  </si>
  <si>
    <t xml:space="preserve">IE</t>
  </si>
  <si>
    <t xml:space="preserve">HSE</t>
  </si>
  <si>
    <t xml:space="preserve">Free via GP under the HSE</t>
  </si>
  <si>
    <t xml:space="preserve">HSE with clinical justification — may carry a fee</t>
  </si>
  <si>
    <t xml:space="preserve">GP visit fees apply unless you hold a medical card. Bloods themselves are generally covered — ask what the visit will cost before you book.</t>
  </si>
  <si>
    <t xml:space="preserve">HSE Public Labs · Randox Health · Beacon Hospital</t>
  </si>
  <si>
    <t xml:space="preserve">Free — HSE</t>
  </si>
  <si>
    <t xml:space="preserve">🇸🇬  Singapore</t>
  </si>
  <si>
    <t xml:space="preserve">SG</t>
  </si>
  <si>
    <t xml:space="preserve">Polyclinic / Medisave</t>
  </si>
  <si>
    <t xml:space="preserve">Subsidised at polyclinics</t>
  </si>
  <si>
    <t xml:space="preserve">Subsidised with a referral — confirm the co-payment</t>
  </si>
  <si>
    <t xml:space="preserve">Polyclinic rates are subsidised but not free. Subsidy depends on citizenship or PR status — check your tier before booking.</t>
  </si>
  <si>
    <t xml:space="preserve">Polyclinics (NHGP/SHP) · Parkway Shenton · Quest SG</t>
  </si>
  <si>
    <t xml:space="preserve">Subsidised — Polyclinic</t>
  </si>
  <si>
    <t xml:space="preserve">🇿🇦  South Africa</t>
  </si>
  <si>
    <t xml:space="preserve">ZA</t>
  </si>
  <si>
    <t xml:space="preserve">Free at a public facility, or on medical aid</t>
  </si>
  <si>
    <t xml:space="preserve">Check your medical aid — may come off your savings</t>
  </si>
  <si>
    <t xml:space="preserve">Public sector testing is free but waiting times are long. On medical aid, many of these come off your savings rather than risk benefit — check before you order.</t>
  </si>
  <si>
    <t xml:space="preserve">Lancet · Ampath · PathCare</t>
  </si>
  <si>
    <t xml:space="preserve">Public / Medical Aid</t>
  </si>
  <si>
    <t xml:space="preserve">🇮🇳  India</t>
  </si>
  <si>
    <t xml:space="preserve">IN</t>
  </si>
  <si>
    <t xml:space="preserve">Govt Hospital</t>
  </si>
  <si>
    <t xml:space="preserve">Low cost at a government hospital</t>
  </si>
  <si>
    <t xml:space="preserve">Available privately at modest cost</t>
  </si>
  <si>
    <t xml:space="preserve">Private lab pricing is low by international standards and most labs accept direct orders without a referral. Ask for a package rate on the full panel.</t>
  </si>
  <si>
    <t xml:space="preserve">SRL Diagnostics · Thyrocare · Metropolis</t>
  </si>
  <si>
    <t xml:space="preserve">Low Cost — Govt Hospital</t>
  </si>
  <si>
    <t xml:space="preserve">🇺🇸  United States</t>
  </si>
  <si>
    <t xml:space="preserve">US</t>
  </si>
  <si>
    <t xml:space="preserve">Insurance</t>
  </si>
  <si>
    <t xml:space="preserve">Usually covered — check your deductible</t>
  </si>
  <si>
    <t xml:space="preserve">Often needs prior authorisation — confirm first</t>
  </si>
  <si>
    <t xml:space="preserve">Out of pocket, or direct-to-consumer lab</t>
  </si>
  <si>
    <t xml:space="preserve">Nothing here is free. Coverage depends entirely on your plan and deductible — call the number on your card and ask about the CPT codes before the draw.</t>
  </si>
  <si>
    <t xml:space="preserve">Quest · Labcorp · Ulta Lab Tests · Walk-In Lab</t>
  </si>
  <si>
    <t xml:space="preserve">Covered — Insurance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</si>
</sst>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 mmm\ yyyy"/>
    <numFmt numFmtId="166" formatCode="General"/>
    <numFmt numFmtId="167" formatCode="dd\ mmm"/>
    <numFmt numFmtId="168" formatCode="0.0;\-0.0;\-"/>
    <numFmt numFmtId="169" formatCode="0\%"/>
    <numFmt numFmtId="170" formatCode="dd/mm/yyyy"/>
  </numFmts>
  <fonts count="4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5E38"/>
      <name val="Arial"/>
      <family val="0"/>
      <charset val="1"/>
    </font>
    <font>
      <i val="true"/>
      <sz val="10"/>
      <color rgb="FF9A8E80"/>
      <name val="Arial"/>
      <family val="0"/>
      <charset val="1"/>
    </font>
    <font>
      <b val="true"/>
      <sz val="9"/>
      <color rgb="FFC9A227"/>
      <name val="Arial"/>
      <family val="0"/>
      <charset val="1"/>
    </font>
    <font>
      <b val="true"/>
      <sz val="10"/>
      <color rgb="FF1B5E3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9A8E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8"/>
      <color rgb="FF9A8E80"/>
      <name val="Arial"/>
      <family val="0"/>
      <charset val="1"/>
    </font>
    <font>
      <sz val="8"/>
      <color rgb="FF9A8E80"/>
      <name val="Arial"/>
      <family val="0"/>
      <charset val="1"/>
    </font>
    <font>
      <b val="true"/>
      <sz val="9"/>
      <color rgb="FF1B5E38"/>
      <name val="Arial"/>
      <family val="0"/>
      <charset val="1"/>
    </font>
    <font>
      <sz val="9.5"/>
      <color rgb="FF2C3A2E"/>
      <name val="Arial"/>
      <family val="0"/>
      <charset val="1"/>
    </font>
    <font>
      <sz val="9"/>
      <color rgb="FF9A8E80"/>
      <name val="Arial"/>
      <family val="0"/>
      <charset val="1"/>
    </font>
    <font>
      <sz val="9"/>
      <color rgb="FF2C3A2E"/>
      <name val="Arial"/>
      <family val="0"/>
      <charset val="1"/>
    </font>
    <font>
      <b val="true"/>
      <sz val="9"/>
      <color rgb="FF2C3A2E"/>
      <name val="Arial"/>
      <family val="0"/>
      <charset val="1"/>
    </font>
    <font>
      <b val="true"/>
      <sz val="8.5"/>
      <color rgb="FF2C3A2E"/>
      <name val="Arial"/>
      <family val="0"/>
      <charset val="1"/>
    </font>
    <font>
      <sz val="8.5"/>
      <color rgb="FF2C3A2E"/>
      <name val="Arial"/>
      <family val="0"/>
      <charset val="1"/>
    </font>
    <font>
      <sz val="8.5"/>
      <color rgb="FF9A8E80"/>
      <name val="Arial"/>
      <family val="0"/>
      <charset val="1"/>
    </font>
    <font>
      <b val="true"/>
      <sz val="13"/>
      <color rgb="FF1B5E38"/>
      <name val="Arial"/>
      <family val="0"/>
      <charset val="1"/>
    </font>
    <font>
      <b val="true"/>
      <sz val="8"/>
      <color rgb="FF1B5E38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i val="true"/>
      <sz val="9"/>
      <color rgb="FF2D7A4A"/>
      <name val="Arial"/>
      <family val="0"/>
      <charset val="1"/>
    </font>
    <font>
      <b val="true"/>
      <sz val="14"/>
      <color rgb="FF1B5E38"/>
      <name val="Georgia"/>
      <family val="0"/>
      <charset val="1"/>
    </font>
    <font>
      <b val="true"/>
      <sz val="9"/>
      <color rgb="FFC4858A"/>
      <name val="Arial"/>
      <family val="0"/>
      <charset val="1"/>
    </font>
    <font>
      <sz val="10"/>
      <color rgb="FF2C3A2E"/>
      <name val="Arial"/>
      <family val="0"/>
      <charset val="1"/>
    </font>
    <font>
      <sz val="9"/>
      <color rgb="FF7A8A6C"/>
      <name val="Arial"/>
      <family val="0"/>
      <charset val="1"/>
    </font>
    <font>
      <sz val="11"/>
      <color rgb="FF2C3A2E"/>
      <name val="Arial"/>
      <family val="0"/>
      <charset val="1"/>
    </font>
    <font>
      <b val="true"/>
      <sz val="10"/>
      <color rgb="FF2C3A2E"/>
      <name val="Arial"/>
      <family val="0"/>
      <charset val="1"/>
    </font>
    <font>
      <i val="true"/>
      <sz val="9"/>
      <color rgb="FF7A8A6C"/>
      <name val="Arial"/>
      <family val="0"/>
      <charset val="1"/>
    </font>
    <font>
      <sz val="1"/>
      <name val="Arial"/>
      <family val="0"/>
      <charset val="1"/>
    </font>
    <font>
      <b val="true"/>
      <sz val="11"/>
      <color rgb="FF1B5E38"/>
      <name val="Arial"/>
      <family val="0"/>
      <charset val="1"/>
    </font>
    <font>
      <b val="true"/>
      <sz val="12"/>
      <color rgb="FF1B5E38"/>
      <name val="Georgia"/>
      <family val="0"/>
      <charset val="1"/>
    </font>
    <font>
      <b val="true"/>
      <sz val="11"/>
      <color rgb="FFC9A227"/>
      <name val="Arial"/>
      <family val="0"/>
      <charset val="1"/>
    </font>
    <font>
      <b val="true"/>
      <sz val="12"/>
      <color rgb="FFC9A227"/>
      <name val="Georgia"/>
      <family val="0"/>
      <charset val="1"/>
    </font>
    <font>
      <b val="true"/>
      <sz val="10"/>
      <color rgb="FFC9A227"/>
      <name val="Arial"/>
      <family val="0"/>
      <charset val="1"/>
    </font>
    <font>
      <sz val="9"/>
      <color rgb="FF6BBF59"/>
      <name val="Arial"/>
      <family val="0"/>
      <charset val="1"/>
    </font>
    <font>
      <sz val="9"/>
      <color rgb="FFC9A227"/>
      <name val="Arial"/>
      <family val="0"/>
      <charset val="1"/>
    </font>
    <font>
      <sz val="9"/>
      <color rgb="FFC4858A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0"/>
        <bgColor rgb="FFFFFFFF"/>
      </patternFill>
    </fill>
    <fill>
      <patternFill patternType="solid">
        <fgColor rgb="FF1B5E38"/>
        <bgColor rgb="FF2D7A4A"/>
      </patternFill>
    </fill>
    <fill>
      <patternFill patternType="solid">
        <fgColor rgb="FFFAF7F2"/>
        <bgColor rgb="FFFFF8E1"/>
      </patternFill>
    </fill>
    <fill>
      <patternFill patternType="solid">
        <fgColor rgb="FFEAF3EC"/>
        <bgColor rgb="FFF5F0E8"/>
      </patternFill>
    </fill>
    <fill>
      <patternFill patternType="solid">
        <fgColor rgb="FFC9A227"/>
        <bgColor rgb="FFC4858A"/>
      </patternFill>
    </fill>
    <fill>
      <patternFill patternType="solid">
        <fgColor rgb="FF2D7A4A"/>
        <bgColor rgb="FF1B5E38"/>
      </patternFill>
    </fill>
    <fill>
      <patternFill patternType="solid">
        <fgColor rgb="FFC4858A"/>
        <bgColor rgb="FF9A8E80"/>
      </patternFill>
    </fill>
    <fill>
      <patternFill patternType="solid">
        <fgColor rgb="FF2C3A2E"/>
        <bgColor rgb="FF333300"/>
      </patternFill>
    </fill>
    <fill>
      <patternFill patternType="solid">
        <fgColor rgb="FFF5F0E8"/>
        <bgColor rgb="FFEAF3EC"/>
      </patternFill>
    </fill>
    <fill>
      <patternFill patternType="solid">
        <fgColor rgb="FFFFF8E1"/>
        <bgColor rgb="FFFAF7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9A227"/>
      </left>
      <right style="thin">
        <color rgb="FFC9A227"/>
      </right>
      <top style="thin">
        <color rgb="FFC9A227"/>
      </top>
      <bottom style="thin">
        <color rgb="FFC9A227"/>
      </bottom>
      <diagonal/>
    </border>
    <border diagonalUp="false" diagonalDown="false">
      <left style="thin">
        <color rgb="FFE8E0D0"/>
      </left>
      <right style="thin">
        <color rgb="FFE8E0D0"/>
      </right>
      <top style="thin">
        <color rgb="FFE8E0D0"/>
      </top>
      <bottom style="thin">
        <color rgb="FFE8E0D0"/>
      </bottom>
      <diagonal/>
    </border>
    <border diagonalUp="false" diagonalDown="false">
      <left style="thin">
        <color rgb="FFE0DDD8"/>
      </left>
      <right style="thin">
        <color rgb="FFE0DDD8"/>
      </right>
      <top style="thin">
        <color rgb="FFE0DDD8"/>
      </top>
      <bottom style="thin">
        <color rgb="FFE0DDD8"/>
      </bottom>
      <diagonal/>
    </border>
    <border diagonalUp="false" diagonalDown="false">
      <left/>
      <right style="thin">
        <color rgb="FFE0DDD8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5" fontId="8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5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6" fillId="6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6" fillId="7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6" fillId="8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6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6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7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8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9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8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9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1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0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31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2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3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6" fillId="8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5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6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3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9" fontId="3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5" fontId="3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6" fillId="6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3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3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1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1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31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0" fillId="11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11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0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3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38"/>
      <rgbColor rgb="FF000080"/>
      <rgbColor rgb="FF808000"/>
      <rgbColor rgb="FF800080"/>
      <rgbColor rgb="FF008080"/>
      <rgbColor rgb="FFB3B3B3"/>
      <rgbColor rgb="FF7A8A6C"/>
      <rgbColor rgb="FF9999FF"/>
      <rgbColor rgb="FF993366"/>
      <rgbColor rgb="FFFFF8E1"/>
      <rgbColor rgb="FFEAF3EC"/>
      <rgbColor rgb="FF660066"/>
      <rgbColor rgb="FFC4858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7F2"/>
      <rgbColor rgb="FFF5F0E8"/>
      <rgbColor rgb="FFFFFFF0"/>
      <rgbColor rgb="FFE0DDD8"/>
      <rgbColor rgb="FFFF99CC"/>
      <rgbColor rgb="FFCC99FF"/>
      <rgbColor rgb="FFE8E0D0"/>
      <rgbColor rgb="FF3366FF"/>
      <rgbColor rgb="FF33CCCC"/>
      <rgbColor rgb="FF6BBF59"/>
      <rgbColor rgb="FFFFCC00"/>
      <rgbColor rgb="FFC9A227"/>
      <rgbColor rgb="FFFF6600"/>
      <rgbColor rgb="FF666699"/>
      <rgbColor rgb="FF9A8E80"/>
      <rgbColor rgb="FF003366"/>
      <rgbColor rgb="FF2D7A4A"/>
      <rgbColor rgb="FF003300"/>
      <rgbColor rgb="FF333300"/>
      <rgbColor rgb="FF993300"/>
      <rgbColor rgb="FF993366"/>
      <rgbColor rgb="FF333399"/>
      <rgbColor rgb="FF2C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spPr>
            <a:solidFill>
              <a:srgbClr val="1b5e38"/>
            </a:solidFill>
            <a:ln w="28080">
              <a:solidFill>
                <a:srgbClr val="1b5e38"/>
              </a:solidFill>
              <a:round/>
            </a:ln>
          </c:spPr>
          <c:marker>
            <c:symbol val="circle"/>
            <c:size val="7"/>
            <c:spPr>
              <a:solidFill>
                <a:srgbClr val="1b5e38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'Lab Tracker'!$B$73:$E$73</c:f>
              <c:strCache>
                <c:ptCount val="4"/>
                <c:pt idx="0">
                  <c:v>Day 0</c:v>
                </c:pt>
                <c:pt idx="1">
                  <c:v>Day 30</c:v>
                </c:pt>
                <c:pt idx="2">
                  <c:v>Day 60</c:v>
                </c:pt>
                <c:pt idx="3">
                  <c:v>Day 90</c:v>
                </c:pt>
              </c:strCache>
            </c:strRef>
          </c:cat>
          <c:val>
            <c:numRef>
              <c:f>'Lab Tracker'!$B$74:$E$74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2082282"/>
        <c:axId val="4329763"/>
      </c:lineChart>
      <c:catAx>
        <c:axId val="1208228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9763"/>
        <c:crosses val="autoZero"/>
        <c:auto val="1"/>
        <c:lblAlgn val="ctr"/>
        <c:lblOffset val="100"/>
        <c:noMultiLvlLbl val="0"/>
      </c:catAx>
      <c:valAx>
        <c:axId val="432976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Result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0822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spPr>
            <a:solidFill>
              <a:srgbClr val="1b5e38"/>
            </a:solidFill>
            <a:ln w="28080">
              <a:solidFill>
                <a:srgbClr val="1b5e38"/>
              </a:solidFill>
              <a:round/>
            </a:ln>
          </c:spPr>
          <c:marker>
            <c:symbol val="circle"/>
            <c:size val="7"/>
            <c:spPr>
              <a:solidFill>
                <a:srgbClr val="1b5e38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'Round Progression'!$B$73:$Q$73</c:f>
              <c:strCache>
                <c:ptCount val="16"/>
                <c:pt idx="0">
                  <c:v>R1 D0</c:v>
                </c:pt>
                <c:pt idx="1">
                  <c:v>D30</c:v>
                </c:pt>
                <c:pt idx="2">
                  <c:v>D60</c:v>
                </c:pt>
                <c:pt idx="3">
                  <c:v>D90</c:v>
                </c:pt>
                <c:pt idx="4">
                  <c:v>R2 D0</c:v>
                </c:pt>
                <c:pt idx="5">
                  <c:v>D30</c:v>
                </c:pt>
                <c:pt idx="6">
                  <c:v>D60</c:v>
                </c:pt>
                <c:pt idx="7">
                  <c:v>D90</c:v>
                </c:pt>
                <c:pt idx="8">
                  <c:v>R3 D0</c:v>
                </c:pt>
                <c:pt idx="9">
                  <c:v>D30</c:v>
                </c:pt>
                <c:pt idx="10">
                  <c:v>D60</c:v>
                </c:pt>
                <c:pt idx="11">
                  <c:v>D90</c:v>
                </c:pt>
                <c:pt idx="12">
                  <c:v>R4 D0</c:v>
                </c:pt>
                <c:pt idx="13">
                  <c:v>D30</c:v>
                </c:pt>
                <c:pt idx="14">
                  <c:v>D60</c:v>
                </c:pt>
                <c:pt idx="15">
                  <c:v>D90</c:v>
                </c:pt>
              </c:strCache>
            </c:strRef>
          </c:cat>
          <c:val>
            <c:numRef>
              <c:f>'Round Progression'!$B$74:$Q$74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9822511"/>
        <c:axId val="2732562"/>
      </c:lineChart>
      <c:catAx>
        <c:axId val="6982251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32562"/>
        <c:crosses val="autoZero"/>
        <c:auto val="1"/>
        <c:lblAlgn val="ctr"/>
        <c:lblOffset val="100"/>
        <c:noMultiLvlLbl val="0"/>
      </c:catAx>
      <c:valAx>
        <c:axId val="273256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Result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82251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71</xdr:row>
      <xdr:rowOff>151920</xdr:rowOff>
    </xdr:from>
    <xdr:to>
      <xdr:col>9</xdr:col>
      <xdr:colOff>250560</xdr:colOff>
      <xdr:row>86</xdr:row>
      <xdr:rowOff>172800</xdr:rowOff>
    </xdr:to>
    <xdr:graphicFrame>
      <xdr:nvGraphicFramePr>
        <xdr:cNvPr id="0" name="Chart 1"/>
        <xdr:cNvGraphicFramePr/>
      </xdr:nvGraphicFramePr>
      <xdr:xfrm>
        <a:off x="1550520" y="14696640"/>
        <a:ext cx="8638560" cy="2878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75</xdr:row>
      <xdr:rowOff>116280</xdr:rowOff>
    </xdr:from>
    <xdr:to>
      <xdr:col>10</xdr:col>
      <xdr:colOff>603000</xdr:colOff>
      <xdr:row>90</xdr:row>
      <xdr:rowOff>137160</xdr:rowOff>
    </xdr:to>
    <xdr:graphicFrame>
      <xdr:nvGraphicFramePr>
        <xdr:cNvPr id="1" name="Chart 1"/>
        <xdr:cNvGraphicFramePr/>
      </xdr:nvGraphicFramePr>
      <xdr:xfrm>
        <a:off x="1550520" y="14565600"/>
        <a:ext cx="8638560" cy="2878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8"/>
    <col collapsed="false" customWidth="true" hidden="false" outlineLevel="0" max="3" min="3" style="1" width="10"/>
    <col collapsed="false" customWidth="true" hidden="false" outlineLevel="0" max="4" min="4" style="1" width="16"/>
    <col collapsed="false" customWidth="true" hidden="false" outlineLevel="0" max="10" min="5" style="1" width="11"/>
    <col collapsed="false" customWidth="true" hidden="false" outlineLevel="0" max="11" min="11" style="1" width="22"/>
    <col collapsed="false" customWidth="true" hidden="false" outlineLevel="0" max="12" min="12" style="1" width="34"/>
    <col collapsed="false" customWidth="true" hidden="false" outlineLevel="0" max="13" min="13" style="1" width="40"/>
    <col collapsed="false" customWidth="true" hidden="true" outlineLevel="0" max="14" min="14" style="1" width="13"/>
  </cols>
  <sheetData>
    <row r="1" customFormat="false" ht="19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15" hidden="false" customHeight="true" outlineLevel="0" collapsed="false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true" outlineLevel="0" collapsed="false">
      <c r="A3" s="5" t="str">
        <f aca="false">VLOOKUP($B$5,Config!$A:$I,7,FALSE())</f>
        <v>Start with your oncologist or specialist — specialist requests are not coned, so the whole panel fits on one form. If you go via a GP, a list this size may need splitting across two or three appointments. If a GP declines, ask for a referral to your oncologist.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21.75" hidden="false" customHeight="true" outlineLevel="0" collapsed="false">
      <c r="A4" s="6" t="s">
        <v>2</v>
      </c>
      <c r="B4" s="7" t="n">
        <v>46273</v>
      </c>
      <c r="C4" s="8" t="str">
        <f aca="false">"Day 30: "&amp;TEXT($B$4+29,"dd mmm")&amp;"   ·   Day 60: "&amp;TEXT($B$4+59,"dd mmm")&amp;"   ·   Day 90: "&amp;TEXT($B$4+89,"dd mmm")&amp;"      ← every sheet counts from here"</f>
        <v>Day 30: 07 Oct   ·   Day 60: 06 Nov   ·   Day 90: 06 Dec      ← every sheet counts from here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24" hidden="false" customHeight="true" outlineLevel="0" collapsed="false">
      <c r="A5" s="6" t="s">
        <v>3</v>
      </c>
      <c r="B5" s="9" t="s">
        <v>4</v>
      </c>
      <c r="C5" s="8" t="str">
        <f aca="false">"Public system: "&amp;VLOOKUP($B$5,Config!$A:$I,3,FALSE())&amp;"   ·   Private labs: "&amp;VLOOKUP($B$5,Config!$A:$I,8,FALSE())</f>
        <v>Public system: Medicare   ·   Private labs: i-screen · Nutripath · iMedical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Format="false" ht="15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customFormat="false" ht="25.5" hidden="false" customHeight="true" outlineLevel="0" collapsed="false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  <c r="L7" s="10" t="s">
        <v>16</v>
      </c>
      <c r="M7" s="10" t="s">
        <v>17</v>
      </c>
      <c r="N7" s="11" t="s">
        <v>18</v>
      </c>
    </row>
    <row r="8" customFormat="false" ht="15" hidden="false" customHeight="true" outlineLevel="0" collapsed="false">
      <c r="A8" s="3"/>
      <c r="B8" s="3"/>
      <c r="C8" s="3"/>
      <c r="D8" s="12" t="s">
        <v>19</v>
      </c>
      <c r="E8" s="13" t="n">
        <f aca="false">IF($B$4="","",$B$4+0)</f>
        <v>46273</v>
      </c>
      <c r="F8" s="13" t="n">
        <f aca="false">IF($B$4="","",$B$4+29)</f>
        <v>46302</v>
      </c>
      <c r="G8" s="13" t="n">
        <f aca="false">IF($B$4="","",$B$4+59)</f>
        <v>46332</v>
      </c>
      <c r="H8" s="13" t="n">
        <f aca="false">IF($B$4="","",$B$4+89)</f>
        <v>46362</v>
      </c>
      <c r="I8" s="3"/>
      <c r="J8" s="3"/>
      <c r="K8" s="3"/>
      <c r="L8" s="3"/>
      <c r="M8" s="3"/>
      <c r="N8" s="3"/>
    </row>
    <row r="9" customFormat="false" ht="15" hidden="false" customHeight="true" outlineLevel="0" collapsed="false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3"/>
    </row>
    <row r="10" customFormat="false" ht="15" hidden="false" customHeight="true" outlineLevel="0" collapsed="false">
      <c r="A10" s="3"/>
      <c r="B10" s="15" t="s">
        <v>21</v>
      </c>
      <c r="C10" s="16"/>
      <c r="D10" s="16"/>
      <c r="E10" s="17"/>
      <c r="F10" s="17"/>
      <c r="G10" s="17"/>
      <c r="H10" s="17"/>
      <c r="I10" s="18" t="str">
        <f aca="false">IF(OR(E10="",H10=""),"",H10-E10)</f>
        <v/>
      </c>
      <c r="J10" s="19" t="str">
        <f aca="false">IF(I10="","",IF(I10&gt;0,"▲ up",IF(I10&lt;0,"▼ down","")))</f>
        <v/>
      </c>
      <c r="K10" s="20" t="str">
        <f aca="false">IF($N10="PRIV","🟡 Go Deeper","🟢 "&amp;VLOOKUP($B$5,Config!$A:$I,9,FALSE()))</f>
        <v>🟢 Free — Medicare</v>
      </c>
      <c r="L10" s="21" t="str">
        <f aca="false">IF($N10="STD",VLOOKUP($B$5,Config!$A:$I,4,FALSE()),IF($N10="JUST",VLOOKUP($B$5,Config!$A:$I,5,FALSE()),VLOOKUP($B$5,Config!$A:$I,6,FALSE())))</f>
        <v>Bulk-billed via GP or specialist</v>
      </c>
      <c r="M10" s="22" t="s">
        <v>22</v>
      </c>
      <c r="N10" s="23" t="s">
        <v>23</v>
      </c>
    </row>
    <row r="11" customFormat="false" ht="18.75" hidden="false" customHeight="true" outlineLevel="0" collapsed="false">
      <c r="A11" s="3"/>
      <c r="B11" s="15" t="s">
        <v>24</v>
      </c>
      <c r="C11" s="16" t="s">
        <v>25</v>
      </c>
      <c r="D11" s="16" t="s">
        <v>26</v>
      </c>
      <c r="E11" s="17"/>
      <c r="F11" s="17"/>
      <c r="G11" s="17"/>
      <c r="H11" s="17"/>
      <c r="I11" s="18" t="str">
        <f aca="false">IF(OR(E11="",H11=""),"",H11-E11)</f>
        <v/>
      </c>
      <c r="J11" s="19" t="str">
        <f aca="false">IF(I11="","",IF(I11&gt;0,"▲ up",IF(I11&lt;0,"▼ down","")))</f>
        <v/>
      </c>
      <c r="K11" s="20" t="str">
        <f aca="false">IF($N11="PRIV","🟡 Go Deeper","🟢 "&amp;VLOOKUP($B$5,Config!$A:$I,9,FALSE()))</f>
        <v>🟢 Free — Medicare</v>
      </c>
      <c r="L11" s="21" t="str">
        <f aca="false">IF($N11="STD",VLOOKUP($B$5,Config!$A:$I,4,FALSE()),IF($N11="JUST",VLOOKUP($B$5,Config!$A:$I,5,FALSE()),VLOOKUP($B$5,Config!$A:$I,6,FALSE())))</f>
        <v>Bulk-billed via GP or specialist</v>
      </c>
      <c r="M11" s="22" t="s">
        <v>27</v>
      </c>
      <c r="N11" s="23" t="s">
        <v>23</v>
      </c>
    </row>
    <row r="12" customFormat="false" ht="15" hidden="false" customHeight="true" outlineLevel="0" collapsed="false">
      <c r="A12" s="3"/>
      <c r="B12" s="15" t="s">
        <v>28</v>
      </c>
      <c r="C12" s="16"/>
      <c r="D12" s="16"/>
      <c r="E12" s="17"/>
      <c r="F12" s="17"/>
      <c r="G12" s="17"/>
      <c r="H12" s="17"/>
      <c r="I12" s="18" t="str">
        <f aca="false">IF(OR(E12="",H12=""),"",H12-E12)</f>
        <v/>
      </c>
      <c r="J12" s="19" t="str">
        <f aca="false">IF(I12="","",IF(I12&gt;0,"▲ up",IF(I12&lt;0,"▼ down","")))</f>
        <v/>
      </c>
      <c r="K12" s="20" t="str">
        <f aca="false">IF($N12="PRIV","🟡 Go Deeper","🟢 "&amp;VLOOKUP($B$5,Config!$A:$I,9,FALSE()))</f>
        <v>🟢 Free — Medicare</v>
      </c>
      <c r="L12" s="21" t="str">
        <f aca="false">IF($N12="STD",VLOOKUP($B$5,Config!$A:$I,4,FALSE()),IF($N12="JUST",VLOOKUP($B$5,Config!$A:$I,5,FALSE()),VLOOKUP($B$5,Config!$A:$I,6,FALSE())))</f>
        <v>Bulk-billed via GP or specialist</v>
      </c>
      <c r="M12" s="22" t="s">
        <v>29</v>
      </c>
      <c r="N12" s="23" t="s">
        <v>23</v>
      </c>
    </row>
    <row r="13" customFormat="false" ht="18.75" hidden="false" customHeight="true" outlineLevel="0" collapsed="false">
      <c r="A13" s="3"/>
      <c r="B13" s="15" t="s">
        <v>30</v>
      </c>
      <c r="C13" s="16" t="s">
        <v>31</v>
      </c>
      <c r="D13" s="16" t="s">
        <v>32</v>
      </c>
      <c r="E13" s="17"/>
      <c r="F13" s="17"/>
      <c r="G13" s="17"/>
      <c r="H13" s="17"/>
      <c r="I13" s="18" t="str">
        <f aca="false">IF(OR(E13="",H13=""),"",H13-E13)</f>
        <v/>
      </c>
      <c r="J13" s="19" t="str">
        <f aca="false">IF(I13="","",IF(I13&gt;0,"▲ up",IF(I13&lt;0,"▼ down","")))</f>
        <v/>
      </c>
      <c r="K13" s="20" t="str">
        <f aca="false">IF($N13="PRIV","🟡 Go Deeper","🟢 "&amp;VLOOKUP($B$5,Config!$A:$I,9,FALSE()))</f>
        <v>🟢 Free — Medicare</v>
      </c>
      <c r="L13" s="21" t="str">
        <f aca="false">IF($N13="STD",VLOOKUP($B$5,Config!$A:$I,4,FALSE()),IF($N13="JUST",VLOOKUP($B$5,Config!$A:$I,5,FALSE()),VLOOKUP($B$5,Config!$A:$I,6,FALSE())))</f>
        <v>Bulk-billed via GP or specialist</v>
      </c>
      <c r="M13" s="22" t="s">
        <v>33</v>
      </c>
      <c r="N13" s="23" t="s">
        <v>23</v>
      </c>
    </row>
    <row r="14" customFormat="false" ht="15" hidden="false" customHeight="true" outlineLevel="0" collapsed="false">
      <c r="A14" s="3"/>
      <c r="B14" s="15" t="s">
        <v>34</v>
      </c>
      <c r="C14" s="16" t="s">
        <v>35</v>
      </c>
      <c r="D14" s="16" t="s">
        <v>36</v>
      </c>
      <c r="E14" s="17"/>
      <c r="F14" s="17"/>
      <c r="G14" s="17"/>
      <c r="H14" s="17"/>
      <c r="I14" s="18" t="str">
        <f aca="false">IF(OR(E14="",H14=""),"",H14-E14)</f>
        <v/>
      </c>
      <c r="J14" s="19" t="str">
        <f aca="false">IF(I14="","",IF(I14&gt;0,"▲ up",IF(I14&lt;0,"▼ down","")))</f>
        <v/>
      </c>
      <c r="K14" s="20" t="str">
        <f aca="false">IF($N14="PRIV","🟡 Go Deeper","🟢 "&amp;VLOOKUP($B$5,Config!$A:$I,9,FALSE()))</f>
        <v>🟢 Free — Medicare</v>
      </c>
      <c r="L14" s="21" t="str">
        <f aca="false">IF($N14="STD",VLOOKUP($B$5,Config!$A:$I,4,FALSE()),IF($N14="JUST",VLOOKUP($B$5,Config!$A:$I,5,FALSE()),VLOOKUP($B$5,Config!$A:$I,6,FALSE())))</f>
        <v>Bulk-billed via GP or specialist</v>
      </c>
      <c r="M14" s="22" t="s">
        <v>37</v>
      </c>
      <c r="N14" s="23" t="s">
        <v>23</v>
      </c>
    </row>
    <row r="15" customFormat="false" ht="15" hidden="false" customHeight="true" outlineLevel="0" collapsed="false">
      <c r="A15" s="3"/>
      <c r="B15" s="15" t="s">
        <v>38</v>
      </c>
      <c r="C15" s="16" t="s">
        <v>39</v>
      </c>
      <c r="D15" s="16" t="s">
        <v>40</v>
      </c>
      <c r="E15" s="17"/>
      <c r="F15" s="17"/>
      <c r="G15" s="17"/>
      <c r="H15" s="17"/>
      <c r="I15" s="18" t="str">
        <f aca="false">IF(OR(E15="",H15=""),"",H15-E15)</f>
        <v/>
      </c>
      <c r="J15" s="19" t="str">
        <f aca="false">IF(I15="","",IF(I15&gt;0,"▲ up",IF(I15&lt;0,"▼ down","")))</f>
        <v/>
      </c>
      <c r="K15" s="20" t="str">
        <f aca="false">IF($N15="PRIV","🟡 Go Deeper","🟢 "&amp;VLOOKUP($B$5,Config!$A:$I,9,FALSE()))</f>
        <v>🟢 Free — Medicare</v>
      </c>
      <c r="L15" s="21" t="str">
        <f aca="false">IF($N15="STD",VLOOKUP($B$5,Config!$A:$I,4,FALSE()),IF($N15="JUST",VLOOKUP($B$5,Config!$A:$I,5,FALSE()),VLOOKUP($B$5,Config!$A:$I,6,FALSE())))</f>
        <v>Bulk-billed — note cancer history as justification</v>
      </c>
      <c r="M15" s="22" t="s">
        <v>41</v>
      </c>
      <c r="N15" s="23" t="s">
        <v>42</v>
      </c>
    </row>
    <row r="16" customFormat="false" ht="15" hidden="false" customHeight="true" outlineLevel="0" collapsed="false">
      <c r="A16" s="3"/>
      <c r="B16" s="15" t="s">
        <v>43</v>
      </c>
      <c r="C16" s="16" t="s">
        <v>35</v>
      </c>
      <c r="D16" s="16" t="s">
        <v>26</v>
      </c>
      <c r="E16" s="17"/>
      <c r="F16" s="17"/>
      <c r="G16" s="17"/>
      <c r="H16" s="17"/>
      <c r="I16" s="18" t="str">
        <f aca="false">IF(OR(E16="",H16=""),"",H16-E16)</f>
        <v/>
      </c>
      <c r="J16" s="19" t="str">
        <f aca="false">IF(I16="","",IF(I16&gt;0,"▲ up",IF(I16&lt;0,"▼ down","")))</f>
        <v/>
      </c>
      <c r="K16" s="20" t="str">
        <f aca="false">IF($N16="PRIV","🟡 Go Deeper","🟢 "&amp;VLOOKUP($B$5,Config!$A:$I,9,FALSE()))</f>
        <v>🟢 Free — Medicare</v>
      </c>
      <c r="L16" s="21" t="str">
        <f aca="false">IF($N16="STD",VLOOKUP($B$5,Config!$A:$I,4,FALSE()),IF($N16="JUST",VLOOKUP($B$5,Config!$A:$I,5,FALSE()),VLOOKUP($B$5,Config!$A:$I,6,FALSE())))</f>
        <v>Bulk-billed via GP or specialist</v>
      </c>
      <c r="M16" s="22" t="s">
        <v>44</v>
      </c>
      <c r="N16" s="23" t="s">
        <v>23</v>
      </c>
    </row>
    <row r="17" customFormat="false" ht="15" hidden="false" customHeight="true" outlineLevel="0" collapsed="false">
      <c r="A17" s="3"/>
      <c r="B17" s="15" t="s">
        <v>45</v>
      </c>
      <c r="C17" s="16" t="s">
        <v>46</v>
      </c>
      <c r="D17" s="16" t="s">
        <v>47</v>
      </c>
      <c r="E17" s="17"/>
      <c r="F17" s="17"/>
      <c r="G17" s="17"/>
      <c r="H17" s="17"/>
      <c r="I17" s="18" t="str">
        <f aca="false">IF(OR(E17="",H17=""),"",H17-E17)</f>
        <v/>
      </c>
      <c r="J17" s="19" t="str">
        <f aca="false">IF(I17="","",IF(I17&gt;0,"▲ up",IF(I17&lt;0,"▼ down","")))</f>
        <v/>
      </c>
      <c r="K17" s="20" t="str">
        <f aca="false">IF($N17="PRIV","🟡 Go Deeper","🟢 "&amp;VLOOKUP($B$5,Config!$A:$I,9,FALSE()))</f>
        <v>🟢 Free — Medicare</v>
      </c>
      <c r="L17" s="21" t="str">
        <f aca="false">IF($N17="STD",VLOOKUP($B$5,Config!$A:$I,4,FALSE()),IF($N17="JUST",VLOOKUP($B$5,Config!$A:$I,5,FALSE()),VLOOKUP($B$5,Config!$A:$I,6,FALSE())))</f>
        <v>Bulk-billed via GP or specialist</v>
      </c>
      <c r="M17" s="22" t="s">
        <v>48</v>
      </c>
      <c r="N17" s="23" t="s">
        <v>23</v>
      </c>
    </row>
    <row r="18" customFormat="false" ht="15" hidden="false" customHeight="true" outlineLevel="0" collapsed="false">
      <c r="A18" s="3"/>
      <c r="B18" s="15" t="s">
        <v>49</v>
      </c>
      <c r="C18" s="16" t="s">
        <v>35</v>
      </c>
      <c r="D18" s="16" t="s">
        <v>50</v>
      </c>
      <c r="E18" s="17"/>
      <c r="F18" s="17"/>
      <c r="G18" s="17"/>
      <c r="H18" s="17"/>
      <c r="I18" s="18" t="str">
        <f aca="false">IF(OR(E18="",H18=""),"",H18-E18)</f>
        <v/>
      </c>
      <c r="J18" s="19" t="str">
        <f aca="false">IF(I18="","",IF(I18&gt;0,"▲ up",IF(I18&lt;0,"▼ down","")))</f>
        <v/>
      </c>
      <c r="K18" s="20" t="str">
        <f aca="false">IF($N18="PRIV","🟡 Go Deeper","🟢 "&amp;VLOOKUP($B$5,Config!$A:$I,9,FALSE()))</f>
        <v>🟢 Free — Medicare</v>
      </c>
      <c r="L18" s="21" t="str">
        <f aca="false">IF($N18="STD",VLOOKUP($B$5,Config!$A:$I,4,FALSE()),IF($N18="JUST",VLOOKUP($B$5,Config!$A:$I,5,FALSE()),VLOOKUP($B$5,Config!$A:$I,6,FALSE())))</f>
        <v>Bulk-billed — note cancer history as justification</v>
      </c>
      <c r="M18" s="22" t="s">
        <v>51</v>
      </c>
      <c r="N18" s="23" t="s">
        <v>42</v>
      </c>
    </row>
    <row r="19" customFormat="false" ht="18.75" hidden="false" customHeight="true" outlineLevel="0" collapsed="false">
      <c r="A19" s="3"/>
      <c r="B19" s="15" t="s">
        <v>52</v>
      </c>
      <c r="C19" s="16" t="s">
        <v>35</v>
      </c>
      <c r="D19" s="16" t="s">
        <v>53</v>
      </c>
      <c r="E19" s="17"/>
      <c r="F19" s="17"/>
      <c r="G19" s="17"/>
      <c r="H19" s="17"/>
      <c r="I19" s="18" t="str">
        <f aca="false">IF(OR(E19="",H19=""),"",H19-E19)</f>
        <v/>
      </c>
      <c r="J19" s="19" t="str">
        <f aca="false">IF(I19="","",IF(I19&gt;0,"▲ up",IF(I19&lt;0,"▼ down","")))</f>
        <v/>
      </c>
      <c r="K19" s="20" t="str">
        <f aca="false">IF($N19="PRIV","🟡 Go Deeper","🟢 "&amp;VLOOKUP($B$5,Config!$A:$I,9,FALSE()))</f>
        <v>🟢 Free — Medicare</v>
      </c>
      <c r="L19" s="21" t="str">
        <f aca="false">IF($N19="STD",VLOOKUP($B$5,Config!$A:$I,4,FALSE()),IF($N19="JUST",VLOOKUP($B$5,Config!$A:$I,5,FALSE()),VLOOKUP($B$5,Config!$A:$I,6,FALSE())))</f>
        <v>Bulk-billed via GP or specialist</v>
      </c>
      <c r="M19" s="22" t="s">
        <v>54</v>
      </c>
      <c r="N19" s="23" t="s">
        <v>23</v>
      </c>
    </row>
    <row r="20" customFormat="false" ht="18.75" hidden="false" customHeight="true" outlineLevel="0" collapsed="false">
      <c r="A20" s="3"/>
      <c r="B20" s="15" t="s">
        <v>55</v>
      </c>
      <c r="C20" s="16" t="s">
        <v>25</v>
      </c>
      <c r="D20" s="16" t="s">
        <v>56</v>
      </c>
      <c r="E20" s="17"/>
      <c r="F20" s="17"/>
      <c r="G20" s="17"/>
      <c r="H20" s="17"/>
      <c r="I20" s="18" t="str">
        <f aca="false">IF(OR(E20="",H20=""),"",H20-E20)</f>
        <v/>
      </c>
      <c r="J20" s="19" t="str">
        <f aca="false">IF(I20="","",IF(I20&gt;0,"▲ up",IF(I20&lt;0,"▼ down","")))</f>
        <v/>
      </c>
      <c r="K20" s="20" t="str">
        <f aca="false">IF($N20="PRIV","🟡 Go Deeper","🟢 "&amp;VLOOKUP($B$5,Config!$A:$I,9,FALSE()))</f>
        <v>🟢 Free — Medicare</v>
      </c>
      <c r="L20" s="21" t="str">
        <f aca="false">IF($N20="STD",VLOOKUP($B$5,Config!$A:$I,4,FALSE()),IF($N20="JUST",VLOOKUP($B$5,Config!$A:$I,5,FALSE()),VLOOKUP($B$5,Config!$A:$I,6,FALSE())))</f>
        <v>Bulk-billed via GP or specialist</v>
      </c>
      <c r="M20" s="22" t="s">
        <v>57</v>
      </c>
      <c r="N20" s="23" t="s">
        <v>23</v>
      </c>
    </row>
    <row r="21" customFormat="false" ht="15" hidden="false" customHeight="true" outlineLevel="0" collapsed="false">
      <c r="A21" s="3"/>
      <c r="B21" s="15" t="s">
        <v>58</v>
      </c>
      <c r="C21" s="16" t="s">
        <v>59</v>
      </c>
      <c r="D21" s="16" t="s">
        <v>40</v>
      </c>
      <c r="E21" s="17"/>
      <c r="F21" s="17"/>
      <c r="G21" s="17"/>
      <c r="H21" s="17"/>
      <c r="I21" s="18" t="str">
        <f aca="false">IF(OR(E21="",H21=""),"",H21-E21)</f>
        <v/>
      </c>
      <c r="J21" s="19" t="str">
        <f aca="false">IF(I21="","",IF(I21&gt;0,"▲ up",IF(I21&lt;0,"▼ down","")))</f>
        <v/>
      </c>
      <c r="K21" s="20" t="str">
        <f aca="false">IF($N21="PRIV","🟡 Go Deeper","🟢 "&amp;VLOOKUP($B$5,Config!$A:$I,9,FALSE()))</f>
        <v>🟢 Free — Medicare</v>
      </c>
      <c r="L21" s="21" t="str">
        <f aca="false">IF($N21="STD",VLOOKUP($B$5,Config!$A:$I,4,FALSE()),IF($N21="JUST",VLOOKUP($B$5,Config!$A:$I,5,FALSE()),VLOOKUP($B$5,Config!$A:$I,6,FALSE())))</f>
        <v>Bulk-billed — note cancer history as justification</v>
      </c>
      <c r="M21" s="22" t="s">
        <v>60</v>
      </c>
      <c r="N21" s="23" t="s">
        <v>42</v>
      </c>
    </row>
    <row r="22" customFormat="false" ht="15" hidden="false" customHeight="true" outlineLevel="0" collapsed="false">
      <c r="A22" s="3"/>
      <c r="B22" s="15" t="s">
        <v>61</v>
      </c>
      <c r="C22" s="16"/>
      <c r="D22" s="16" t="s">
        <v>62</v>
      </c>
      <c r="E22" s="17"/>
      <c r="F22" s="17"/>
      <c r="G22" s="17"/>
      <c r="H22" s="17"/>
      <c r="I22" s="18" t="str">
        <f aca="false">IF(OR(E22="",H22=""),"",H22-E22)</f>
        <v/>
      </c>
      <c r="J22" s="19" t="str">
        <f aca="false">IF(I22="","",IF(I22&gt;0,"▲ up",IF(I22&lt;0,"▼ down","")))</f>
        <v/>
      </c>
      <c r="K22" s="20" t="str">
        <f aca="false">IF($N22="PRIV","🟡 Go Deeper","🟢 "&amp;VLOOKUP($B$5,Config!$A:$I,9,FALSE()))</f>
        <v>🟢 Free — Medicare</v>
      </c>
      <c r="L22" s="21" t="str">
        <f aca="false">IF($N22="STD",VLOOKUP($B$5,Config!$A:$I,4,FALSE()),IF($N22="JUST",VLOOKUP($B$5,Config!$A:$I,5,FALSE()),VLOOKUP($B$5,Config!$A:$I,6,FALSE())))</f>
        <v>Bulk-billed via GP or specialist</v>
      </c>
      <c r="M22" s="22" t="s">
        <v>63</v>
      </c>
      <c r="N22" s="23" t="s">
        <v>23</v>
      </c>
    </row>
    <row r="23" customFormat="false" ht="15" hidden="false" customHeight="true" outlineLevel="0" collapsed="false">
      <c r="A23" s="3"/>
      <c r="B23" s="15" t="s">
        <v>64</v>
      </c>
      <c r="C23" s="16" t="s">
        <v>65</v>
      </c>
      <c r="D23" s="16" t="s">
        <v>66</v>
      </c>
      <c r="E23" s="17"/>
      <c r="F23" s="17"/>
      <c r="G23" s="17"/>
      <c r="H23" s="17"/>
      <c r="I23" s="18" t="str">
        <f aca="false">IF(OR(E23="",H23=""),"",H23-E23)</f>
        <v/>
      </c>
      <c r="J23" s="19" t="str">
        <f aca="false">IF(I23="","",IF(I23&gt;0,"▲ up",IF(I23&lt;0,"▼ down","")))</f>
        <v/>
      </c>
      <c r="K23" s="20" t="str">
        <f aca="false">IF($N23="PRIV","🟡 Go Deeper","🟢 "&amp;VLOOKUP($B$5,Config!$A:$I,9,FALSE()))</f>
        <v>🟡 Go Deeper</v>
      </c>
      <c r="L23" s="21" t="str">
        <f aca="false">IF($N23="STD",VLOOKUP($B$5,Config!$A:$I,4,FALSE()),IF($N23="JUST",VLOOKUP($B$5,Config!$A:$I,5,FALSE()),VLOOKUP($B$5,Config!$A:$I,6,FALSE())))</f>
        <v>Private lab, out of pocket</v>
      </c>
      <c r="M23" s="22" t="s">
        <v>67</v>
      </c>
      <c r="N23" s="23" t="s">
        <v>68</v>
      </c>
    </row>
    <row r="24" customFormat="false" ht="15" hidden="false" customHeight="true" outlineLevel="0" collapsed="false">
      <c r="A24" s="14" t="s">
        <v>69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3"/>
    </row>
    <row r="25" customFormat="false" ht="15" hidden="false" customHeight="true" outlineLevel="0" collapsed="false">
      <c r="A25" s="3"/>
      <c r="B25" s="15" t="s">
        <v>70</v>
      </c>
      <c r="C25" s="16" t="s">
        <v>71</v>
      </c>
      <c r="D25" s="16" t="s">
        <v>72</v>
      </c>
      <c r="E25" s="17"/>
      <c r="F25" s="17"/>
      <c r="G25" s="17"/>
      <c r="H25" s="17"/>
      <c r="I25" s="18" t="str">
        <f aca="false">IF(OR(E25="",H25=""),"",H25-E25)</f>
        <v/>
      </c>
      <c r="J25" s="19" t="str">
        <f aca="false">IF(I25="","",IF(I25&gt;0,"▲ up",IF(I25&lt;0,"▼ down","")))</f>
        <v/>
      </c>
      <c r="K25" s="20" t="str">
        <f aca="false">IF($N25="PRIV","🟡 Go Deeper","🟢 "&amp;VLOOKUP($B$5,Config!$A:$I,9,FALSE()))</f>
        <v>🟢 Free — Medicare</v>
      </c>
      <c r="L25" s="21" t="str">
        <f aca="false">IF($N25="STD",VLOOKUP($B$5,Config!$A:$I,4,FALSE()),IF($N25="JUST",VLOOKUP($B$5,Config!$A:$I,5,FALSE()),VLOOKUP($B$5,Config!$A:$I,6,FALSE())))</f>
        <v>Bulk-billed — note cancer history as justification</v>
      </c>
      <c r="M25" s="22" t="s">
        <v>73</v>
      </c>
      <c r="N25" s="23" t="s">
        <v>42</v>
      </c>
    </row>
    <row r="26" customFormat="false" ht="18.75" hidden="false" customHeight="true" outlineLevel="0" collapsed="false">
      <c r="A26" s="3"/>
      <c r="B26" s="15" t="s">
        <v>74</v>
      </c>
      <c r="C26" s="16" t="s">
        <v>75</v>
      </c>
      <c r="D26" s="16" t="s">
        <v>76</v>
      </c>
      <c r="E26" s="17"/>
      <c r="F26" s="17"/>
      <c r="G26" s="17"/>
      <c r="H26" s="17"/>
      <c r="I26" s="18" t="str">
        <f aca="false">IF(OR(E26="",H26=""),"",H26-E26)</f>
        <v/>
      </c>
      <c r="J26" s="19" t="str">
        <f aca="false">IF(I26="","",IF(I26&gt;0,"▲ up",IF(I26&lt;0,"▼ down","")))</f>
        <v/>
      </c>
      <c r="K26" s="20" t="str">
        <f aca="false">IF($N26="PRIV","🟡 Go Deeper","🟢 "&amp;VLOOKUP($B$5,Config!$A:$I,9,FALSE()))</f>
        <v>🟢 Free — Medicare</v>
      </c>
      <c r="L26" s="21" t="str">
        <f aca="false">IF($N26="STD",VLOOKUP($B$5,Config!$A:$I,4,FALSE()),IF($N26="JUST",VLOOKUP($B$5,Config!$A:$I,5,FALSE()),VLOOKUP($B$5,Config!$A:$I,6,FALSE())))</f>
        <v>Bulk-billed via GP or specialist</v>
      </c>
      <c r="M26" s="22" t="s">
        <v>77</v>
      </c>
      <c r="N26" s="23" t="s">
        <v>23</v>
      </c>
    </row>
    <row r="27" customFormat="false" ht="15" hidden="false" customHeight="true" outlineLevel="0" collapsed="false">
      <c r="A27" s="3"/>
      <c r="B27" s="15" t="s">
        <v>78</v>
      </c>
      <c r="C27" s="16" t="s">
        <v>79</v>
      </c>
      <c r="D27" s="16" t="s">
        <v>80</v>
      </c>
      <c r="E27" s="17"/>
      <c r="F27" s="17"/>
      <c r="G27" s="17"/>
      <c r="H27" s="17"/>
      <c r="I27" s="18" t="str">
        <f aca="false">IF(OR(E27="",H27=""),"",H27-E27)</f>
        <v/>
      </c>
      <c r="J27" s="19" t="str">
        <f aca="false">IF(I27="","",IF(I27&gt;0,"▲ up",IF(I27&lt;0,"▼ down","")))</f>
        <v/>
      </c>
      <c r="K27" s="20" t="str">
        <f aca="false">IF($N27="PRIV","🟡 Go Deeper","🟢 "&amp;VLOOKUP($B$5,Config!$A:$I,9,FALSE()))</f>
        <v>🟡 Go Deeper</v>
      </c>
      <c r="L27" s="21" t="str">
        <f aca="false">IF($N27="STD",VLOOKUP($B$5,Config!$A:$I,4,FALSE()),IF($N27="JUST",VLOOKUP($B$5,Config!$A:$I,5,FALSE()),VLOOKUP($B$5,Config!$A:$I,6,FALSE())))</f>
        <v>Private lab, out of pocket</v>
      </c>
      <c r="M27" s="22" t="s">
        <v>81</v>
      </c>
      <c r="N27" s="23" t="s">
        <v>68</v>
      </c>
    </row>
    <row r="28" customFormat="false" ht="15" hidden="false" customHeight="true" outlineLevel="0" collapsed="false">
      <c r="A28" s="3"/>
      <c r="B28" s="15" t="s">
        <v>82</v>
      </c>
      <c r="C28" s="16" t="s">
        <v>71</v>
      </c>
      <c r="D28" s="16" t="s">
        <v>40</v>
      </c>
      <c r="E28" s="17"/>
      <c r="F28" s="17"/>
      <c r="G28" s="17"/>
      <c r="H28" s="17"/>
      <c r="I28" s="18" t="str">
        <f aca="false">IF(OR(E28="",H28=""),"",H28-E28)</f>
        <v/>
      </c>
      <c r="J28" s="19" t="str">
        <f aca="false">IF(I28="","",IF(I28&gt;0,"▲ up",IF(I28&lt;0,"▼ down","")))</f>
        <v/>
      </c>
      <c r="K28" s="20" t="str">
        <f aca="false">IF($N28="PRIV","🟡 Go Deeper","🟢 "&amp;VLOOKUP($B$5,Config!$A:$I,9,FALSE()))</f>
        <v>🟡 Go Deeper</v>
      </c>
      <c r="L28" s="21" t="str">
        <f aca="false">IF($N28="STD",VLOOKUP($B$5,Config!$A:$I,4,FALSE()),IF($N28="JUST",VLOOKUP($B$5,Config!$A:$I,5,FALSE()),VLOOKUP($B$5,Config!$A:$I,6,FALSE())))</f>
        <v>Private lab, out of pocket</v>
      </c>
      <c r="M28" s="22" t="s">
        <v>83</v>
      </c>
      <c r="N28" s="23" t="s">
        <v>68</v>
      </c>
    </row>
    <row r="29" customFormat="false" ht="15" hidden="false" customHeight="true" outlineLevel="0" collapsed="false">
      <c r="A29" s="3"/>
      <c r="B29" s="15" t="s">
        <v>84</v>
      </c>
      <c r="C29" s="16" t="s">
        <v>85</v>
      </c>
      <c r="D29" s="16" t="s">
        <v>86</v>
      </c>
      <c r="E29" s="17"/>
      <c r="F29" s="17"/>
      <c r="G29" s="17"/>
      <c r="H29" s="17"/>
      <c r="I29" s="18" t="str">
        <f aca="false">IF(OR(E29="",H29=""),"",H29-E29)</f>
        <v/>
      </c>
      <c r="J29" s="19" t="str">
        <f aca="false">IF(I29="","",IF(I29&gt;0,"▲ up",IF(I29&lt;0,"▼ down","")))</f>
        <v/>
      </c>
      <c r="K29" s="20" t="str">
        <f aca="false">IF($N29="PRIV","🟡 Go Deeper","🟢 "&amp;VLOOKUP($B$5,Config!$A:$I,9,FALSE()))</f>
        <v>🟡 Go Deeper</v>
      </c>
      <c r="L29" s="21" t="str">
        <f aca="false">IF($N29="STD",VLOOKUP($B$5,Config!$A:$I,4,FALSE()),IF($N29="JUST",VLOOKUP($B$5,Config!$A:$I,5,FALSE()),VLOOKUP($B$5,Config!$A:$I,6,FALSE())))</f>
        <v>Private lab, out of pocket</v>
      </c>
      <c r="M29" s="22" t="s">
        <v>87</v>
      </c>
      <c r="N29" s="23" t="s">
        <v>68</v>
      </c>
    </row>
    <row r="30" customFormat="false" ht="15" hidden="false" customHeight="true" outlineLevel="0" collapsed="false">
      <c r="A30" s="3"/>
      <c r="B30" s="15" t="s">
        <v>88</v>
      </c>
      <c r="C30" s="16" t="s">
        <v>89</v>
      </c>
      <c r="D30" s="16" t="s">
        <v>90</v>
      </c>
      <c r="E30" s="17"/>
      <c r="F30" s="17"/>
      <c r="G30" s="17"/>
      <c r="H30" s="17"/>
      <c r="I30" s="18" t="str">
        <f aca="false">IF(OR(E30="",H30=""),"",H30-E30)</f>
        <v/>
      </c>
      <c r="J30" s="19" t="str">
        <f aca="false">IF(I30="","",IF(I30&gt;0,"▲ up",IF(I30&lt;0,"▼ down","")))</f>
        <v/>
      </c>
      <c r="K30" s="20" t="str">
        <f aca="false">IF($N30="PRIV","🟡 Go Deeper","🟢 "&amp;VLOOKUP($B$5,Config!$A:$I,9,FALSE()))</f>
        <v>🟡 Go Deeper</v>
      </c>
      <c r="L30" s="21" t="str">
        <f aca="false">IF($N30="STD",VLOOKUP($B$5,Config!$A:$I,4,FALSE()),IF($N30="JUST",VLOOKUP($B$5,Config!$A:$I,5,FALSE()),VLOOKUP($B$5,Config!$A:$I,6,FALSE())))</f>
        <v>Private lab, out of pocket</v>
      </c>
      <c r="M30" s="22" t="s">
        <v>91</v>
      </c>
      <c r="N30" s="23" t="s">
        <v>68</v>
      </c>
    </row>
    <row r="31" customFormat="false" ht="15" hidden="false" customHeight="true" outlineLevel="0" collapsed="false">
      <c r="A31" s="14" t="s">
        <v>92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3"/>
    </row>
    <row r="32" customFormat="false" ht="15" hidden="false" customHeight="true" outlineLevel="0" collapsed="false">
      <c r="A32" s="3"/>
      <c r="B32" s="15" t="s">
        <v>93</v>
      </c>
      <c r="C32" s="16" t="s">
        <v>94</v>
      </c>
      <c r="D32" s="16" t="s">
        <v>95</v>
      </c>
      <c r="E32" s="17"/>
      <c r="F32" s="17"/>
      <c r="G32" s="17"/>
      <c r="H32" s="17"/>
      <c r="I32" s="18" t="str">
        <f aca="false">IF(OR(E32="",H32=""),"",H32-E32)</f>
        <v/>
      </c>
      <c r="J32" s="19" t="str">
        <f aca="false">IF(I32="","",IF(I32&gt;0,"▲ up",IF(I32&lt;0,"▼ down","")))</f>
        <v/>
      </c>
      <c r="K32" s="20" t="str">
        <f aca="false">IF($N32="PRIV","🟡 Go Deeper","🟢 "&amp;VLOOKUP($B$5,Config!$A:$I,9,FALSE()))</f>
        <v>🟢 Free — Medicare</v>
      </c>
      <c r="L32" s="21" t="str">
        <f aca="false">IF($N32="STD",VLOOKUP($B$5,Config!$A:$I,4,FALSE()),IF($N32="JUST",VLOOKUP($B$5,Config!$A:$I,5,FALSE()),VLOOKUP($B$5,Config!$A:$I,6,FALSE())))</f>
        <v>Bulk-billed via GP or specialist</v>
      </c>
      <c r="M32" s="22" t="s">
        <v>96</v>
      </c>
      <c r="N32" s="23" t="s">
        <v>23</v>
      </c>
    </row>
    <row r="33" customFormat="false" ht="15" hidden="false" customHeight="true" outlineLevel="0" collapsed="false">
      <c r="A33" s="3"/>
      <c r="B33" s="15" t="s">
        <v>97</v>
      </c>
      <c r="C33" s="16" t="s">
        <v>89</v>
      </c>
      <c r="D33" s="16" t="s">
        <v>98</v>
      </c>
      <c r="E33" s="17"/>
      <c r="F33" s="17"/>
      <c r="G33" s="17"/>
      <c r="H33" s="17"/>
      <c r="I33" s="18" t="str">
        <f aca="false">IF(OR(E33="",H33=""),"",H33-E33)</f>
        <v/>
      </c>
      <c r="J33" s="19" t="str">
        <f aca="false">IF(I33="","",IF(I33&gt;0,"▲ up",IF(I33&lt;0,"▼ down","")))</f>
        <v/>
      </c>
      <c r="K33" s="20" t="str">
        <f aca="false">IF($N33="PRIV","🟡 Go Deeper","🟢 "&amp;VLOOKUP($B$5,Config!$A:$I,9,FALSE()))</f>
        <v>🟢 Free — Medicare</v>
      </c>
      <c r="L33" s="21" t="str">
        <f aca="false">IF($N33="STD",VLOOKUP($B$5,Config!$A:$I,4,FALSE()),IF($N33="JUST",VLOOKUP($B$5,Config!$A:$I,5,FALSE()),VLOOKUP($B$5,Config!$A:$I,6,FALSE())))</f>
        <v>Bulk-billed via GP or specialist</v>
      </c>
      <c r="M33" s="22" t="s">
        <v>99</v>
      </c>
      <c r="N33" s="23" t="s">
        <v>23</v>
      </c>
    </row>
    <row r="34" customFormat="false" ht="15" hidden="false" customHeight="true" outlineLevel="0" collapsed="false">
      <c r="A34" s="3"/>
      <c r="B34" s="15" t="s">
        <v>100</v>
      </c>
      <c r="C34" s="16" t="s">
        <v>89</v>
      </c>
      <c r="D34" s="16" t="s">
        <v>101</v>
      </c>
      <c r="E34" s="17"/>
      <c r="F34" s="17"/>
      <c r="G34" s="17"/>
      <c r="H34" s="17"/>
      <c r="I34" s="18" t="str">
        <f aca="false">IF(OR(E34="",H34=""),"",H34-E34)</f>
        <v/>
      </c>
      <c r="J34" s="19" t="str">
        <f aca="false">IF(I34="","",IF(I34&gt;0,"▲ up",IF(I34&lt;0,"▼ down","")))</f>
        <v/>
      </c>
      <c r="K34" s="20" t="str">
        <f aca="false">IF($N34="PRIV","🟡 Go Deeper","🟢 "&amp;VLOOKUP($B$5,Config!$A:$I,9,FALSE()))</f>
        <v>🟢 Free — Medicare</v>
      </c>
      <c r="L34" s="21" t="str">
        <f aca="false">IF($N34="STD",VLOOKUP($B$5,Config!$A:$I,4,FALSE()),IF($N34="JUST",VLOOKUP($B$5,Config!$A:$I,5,FALSE()),VLOOKUP($B$5,Config!$A:$I,6,FALSE())))</f>
        <v>Bulk-billed via GP or specialist</v>
      </c>
      <c r="M34" s="22" t="s">
        <v>102</v>
      </c>
      <c r="N34" s="23" t="s">
        <v>23</v>
      </c>
    </row>
    <row r="35" customFormat="false" ht="15" hidden="false" customHeight="true" outlineLevel="0" collapsed="false">
      <c r="A35" s="3"/>
      <c r="B35" s="15" t="s">
        <v>103</v>
      </c>
      <c r="C35" s="16"/>
      <c r="D35" s="16" t="s">
        <v>104</v>
      </c>
      <c r="E35" s="17"/>
      <c r="F35" s="17"/>
      <c r="G35" s="17"/>
      <c r="H35" s="17"/>
      <c r="I35" s="18" t="str">
        <f aca="false">IF(OR(E35="",H35=""),"",H35-E35)</f>
        <v/>
      </c>
      <c r="J35" s="19" t="str">
        <f aca="false">IF(I35="","",IF(I35&gt;0,"▲ up",IF(I35&lt;0,"▼ down","")))</f>
        <v/>
      </c>
      <c r="K35" s="20" t="str">
        <f aca="false">IF($N35="PRIV","🟡 Go Deeper","🟢 "&amp;VLOOKUP($B$5,Config!$A:$I,9,FALSE()))</f>
        <v>🟢 Free — Medicare</v>
      </c>
      <c r="L35" s="21" t="str">
        <f aca="false">IF($N35="STD",VLOOKUP($B$5,Config!$A:$I,4,FALSE()),IF($N35="JUST",VLOOKUP($B$5,Config!$A:$I,5,FALSE()),VLOOKUP($B$5,Config!$A:$I,6,FALSE())))</f>
        <v>Bulk-billed via GP or specialist</v>
      </c>
      <c r="M35" s="22" t="s">
        <v>105</v>
      </c>
      <c r="N35" s="23" t="s">
        <v>23</v>
      </c>
    </row>
    <row r="36" customFormat="false" ht="15" hidden="false" customHeight="true" outlineLevel="0" collapsed="false">
      <c r="A36" s="3"/>
      <c r="B36" s="15" t="s">
        <v>106</v>
      </c>
      <c r="C36" s="16" t="s">
        <v>107</v>
      </c>
      <c r="D36" s="16" t="s">
        <v>108</v>
      </c>
      <c r="E36" s="17"/>
      <c r="F36" s="17"/>
      <c r="G36" s="17"/>
      <c r="H36" s="17"/>
      <c r="I36" s="18" t="str">
        <f aca="false">IF(OR(E36="",H36=""),"",H36-E36)</f>
        <v/>
      </c>
      <c r="J36" s="19" t="str">
        <f aca="false">IF(I36="","",IF(I36&gt;0,"▲ up",IF(I36&lt;0,"▼ down","")))</f>
        <v/>
      </c>
      <c r="K36" s="20" t="str">
        <f aca="false">IF($N36="PRIV","🟡 Go Deeper","🟢 "&amp;VLOOKUP($B$5,Config!$A:$I,9,FALSE()))</f>
        <v>🟢 Free — Medicare</v>
      </c>
      <c r="L36" s="21" t="str">
        <f aca="false">IF($N36="STD",VLOOKUP($B$5,Config!$A:$I,4,FALSE()),IF($N36="JUST",VLOOKUP($B$5,Config!$A:$I,5,FALSE()),VLOOKUP($B$5,Config!$A:$I,6,FALSE())))</f>
        <v>Bulk-billed via GP or specialist</v>
      </c>
      <c r="M36" s="22" t="s">
        <v>109</v>
      </c>
      <c r="N36" s="23" t="s">
        <v>23</v>
      </c>
    </row>
    <row r="37" customFormat="false" ht="15" hidden="false" customHeight="true" outlineLevel="0" collapsed="false">
      <c r="A37" s="3"/>
      <c r="B37" s="15" t="s">
        <v>110</v>
      </c>
      <c r="C37" s="16"/>
      <c r="D37" s="16" t="s">
        <v>111</v>
      </c>
      <c r="E37" s="17"/>
      <c r="F37" s="17"/>
      <c r="G37" s="17"/>
      <c r="H37" s="17"/>
      <c r="I37" s="18" t="str">
        <f aca="false">IF(OR(E37="",H37=""),"",H37-E37)</f>
        <v/>
      </c>
      <c r="J37" s="19" t="str">
        <f aca="false">IF(I37="","",IF(I37&gt;0,"▲ up",IF(I37&lt;0,"▼ down","")))</f>
        <v/>
      </c>
      <c r="K37" s="20" t="str">
        <f aca="false">IF($N37="PRIV","🟡 Go Deeper","🟢 "&amp;VLOOKUP($B$5,Config!$A:$I,9,FALSE()))</f>
        <v>🟢 Free — Medicare</v>
      </c>
      <c r="L37" s="21" t="str">
        <f aca="false">IF($N37="STD",VLOOKUP($B$5,Config!$A:$I,4,FALSE()),IF($N37="JUST",VLOOKUP($B$5,Config!$A:$I,5,FALSE()),VLOOKUP($B$5,Config!$A:$I,6,FALSE())))</f>
        <v>Bulk-billed via GP or specialist</v>
      </c>
      <c r="M37" s="22" t="s">
        <v>112</v>
      </c>
      <c r="N37" s="23" t="s">
        <v>23</v>
      </c>
    </row>
    <row r="38" customFormat="false" ht="15" hidden="false" customHeight="true" outlineLevel="0" collapsed="false">
      <c r="A38" s="3"/>
      <c r="B38" s="15" t="s">
        <v>113</v>
      </c>
      <c r="C38" s="16" t="s">
        <v>59</v>
      </c>
      <c r="D38" s="16" t="s">
        <v>114</v>
      </c>
      <c r="E38" s="17"/>
      <c r="F38" s="17"/>
      <c r="G38" s="17"/>
      <c r="H38" s="17"/>
      <c r="I38" s="18" t="str">
        <f aca="false">IF(OR(E38="",H38=""),"",H38-E38)</f>
        <v/>
      </c>
      <c r="J38" s="19" t="str">
        <f aca="false">IF(I38="","",IF(I38&gt;0,"▲ up",IF(I38&lt;0,"▼ down","")))</f>
        <v/>
      </c>
      <c r="K38" s="20" t="str">
        <f aca="false">IF($N38="PRIV","🟡 Go Deeper","🟢 "&amp;VLOOKUP($B$5,Config!$A:$I,9,FALSE()))</f>
        <v>🟢 Free — Medicare</v>
      </c>
      <c r="L38" s="21" t="str">
        <f aca="false">IF($N38="STD",VLOOKUP($B$5,Config!$A:$I,4,FALSE()),IF($N38="JUST",VLOOKUP($B$5,Config!$A:$I,5,FALSE()),VLOOKUP($B$5,Config!$A:$I,6,FALSE())))</f>
        <v>Bulk-billed via GP or specialist</v>
      </c>
      <c r="M38" s="22" t="s">
        <v>115</v>
      </c>
      <c r="N38" s="23" t="s">
        <v>23</v>
      </c>
    </row>
    <row r="39" customFormat="false" ht="15" hidden="false" customHeight="true" outlineLevel="0" collapsed="false">
      <c r="A39" s="14" t="s">
        <v>116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3"/>
    </row>
    <row r="40" customFormat="false" ht="15" hidden="false" customHeight="true" outlineLevel="0" collapsed="false">
      <c r="A40" s="3"/>
      <c r="B40" s="15" t="s">
        <v>117</v>
      </c>
      <c r="C40" s="16" t="s">
        <v>107</v>
      </c>
      <c r="D40" s="16" t="s">
        <v>118</v>
      </c>
      <c r="E40" s="17"/>
      <c r="F40" s="17"/>
      <c r="G40" s="17"/>
      <c r="H40" s="17"/>
      <c r="I40" s="18" t="str">
        <f aca="false">IF(OR(E40="",H40=""),"",H40-E40)</f>
        <v/>
      </c>
      <c r="J40" s="19" t="str">
        <f aca="false">IF(I40="","",IF(I40&gt;0,"▲ up",IF(I40&lt;0,"▼ down","")))</f>
        <v/>
      </c>
      <c r="K40" s="20" t="str">
        <f aca="false">IF($N40="PRIV","🟡 Go Deeper","🟢 "&amp;VLOOKUP($B$5,Config!$A:$I,9,FALSE()))</f>
        <v>🟢 Free — Medicare</v>
      </c>
      <c r="L40" s="21" t="str">
        <f aca="false">IF($N40="STD",VLOOKUP($B$5,Config!$A:$I,4,FALSE()),IF($N40="JUST",VLOOKUP($B$5,Config!$A:$I,5,FALSE()),VLOOKUP($B$5,Config!$A:$I,6,FALSE())))</f>
        <v>Bulk-billed via GP or specialist</v>
      </c>
      <c r="M40" s="22" t="s">
        <v>119</v>
      </c>
      <c r="N40" s="23" t="s">
        <v>23</v>
      </c>
    </row>
    <row r="41" customFormat="false" ht="15" hidden="false" customHeight="true" outlineLevel="0" collapsed="false">
      <c r="A41" s="3"/>
      <c r="B41" s="15" t="s">
        <v>120</v>
      </c>
      <c r="C41" s="16" t="s">
        <v>89</v>
      </c>
      <c r="D41" s="16" t="s">
        <v>121</v>
      </c>
      <c r="E41" s="17"/>
      <c r="F41" s="17"/>
      <c r="G41" s="17"/>
      <c r="H41" s="17"/>
      <c r="I41" s="18" t="str">
        <f aca="false">IF(OR(E41="",H41=""),"",H41-E41)</f>
        <v/>
      </c>
      <c r="J41" s="19" t="str">
        <f aca="false">IF(I41="","",IF(I41&gt;0,"▲ up",IF(I41&lt;0,"▼ down","")))</f>
        <v/>
      </c>
      <c r="K41" s="20" t="str">
        <f aca="false">IF($N41="PRIV","🟡 Go Deeper","🟢 "&amp;VLOOKUP($B$5,Config!$A:$I,9,FALSE()))</f>
        <v>🟢 Free — Medicare</v>
      </c>
      <c r="L41" s="21" t="str">
        <f aca="false">IF($N41="STD",VLOOKUP($B$5,Config!$A:$I,4,FALSE()),IF($N41="JUST",VLOOKUP($B$5,Config!$A:$I,5,FALSE()),VLOOKUP($B$5,Config!$A:$I,6,FALSE())))</f>
        <v>Bulk-billed via GP or specialist</v>
      </c>
      <c r="M41" s="22" t="s">
        <v>122</v>
      </c>
      <c r="N41" s="23" t="s">
        <v>23</v>
      </c>
    </row>
    <row r="42" customFormat="false" ht="15" hidden="false" customHeight="true" outlineLevel="0" collapsed="false">
      <c r="A42" s="3"/>
      <c r="B42" s="15" t="s">
        <v>123</v>
      </c>
      <c r="C42" s="16" t="s">
        <v>107</v>
      </c>
      <c r="D42" s="16" t="s">
        <v>124</v>
      </c>
      <c r="E42" s="17"/>
      <c r="F42" s="17"/>
      <c r="G42" s="17"/>
      <c r="H42" s="17"/>
      <c r="I42" s="18" t="str">
        <f aca="false">IF(OR(E42="",H42=""),"",H42-E42)</f>
        <v/>
      </c>
      <c r="J42" s="19" t="str">
        <f aca="false">IF(I42="","",IF(I42&gt;0,"▲ up",IF(I42&lt;0,"▼ down","")))</f>
        <v/>
      </c>
      <c r="K42" s="20" t="str">
        <f aca="false">IF($N42="PRIV","🟡 Go Deeper","🟢 "&amp;VLOOKUP($B$5,Config!$A:$I,9,FALSE()))</f>
        <v>🟢 Free — Medicare</v>
      </c>
      <c r="L42" s="21" t="str">
        <f aca="false">IF($N42="STD",VLOOKUP($B$5,Config!$A:$I,4,FALSE()),IF($N42="JUST",VLOOKUP($B$5,Config!$A:$I,5,FALSE()),VLOOKUP($B$5,Config!$A:$I,6,FALSE())))</f>
        <v>Bulk-billed via GP or specialist</v>
      </c>
      <c r="M42" s="22" t="s">
        <v>125</v>
      </c>
      <c r="N42" s="23" t="s">
        <v>23</v>
      </c>
    </row>
    <row r="43" customFormat="false" ht="15" hidden="false" customHeight="true" outlineLevel="0" collapsed="false">
      <c r="A43" s="3"/>
      <c r="B43" s="15" t="s">
        <v>126</v>
      </c>
      <c r="C43" s="16" t="s">
        <v>59</v>
      </c>
      <c r="D43" s="16" t="s">
        <v>127</v>
      </c>
      <c r="E43" s="17"/>
      <c r="F43" s="17"/>
      <c r="G43" s="17"/>
      <c r="H43" s="17"/>
      <c r="I43" s="18" t="str">
        <f aca="false">IF(OR(E43="",H43=""),"",H43-E43)</f>
        <v/>
      </c>
      <c r="J43" s="19" t="str">
        <f aca="false">IF(I43="","",IF(I43&gt;0,"▲ up",IF(I43&lt;0,"▼ down","")))</f>
        <v/>
      </c>
      <c r="K43" s="20" t="str">
        <f aca="false">IF($N43="PRIV","🟡 Go Deeper","🟢 "&amp;VLOOKUP($B$5,Config!$A:$I,9,FALSE()))</f>
        <v>🟢 Free — Medicare</v>
      </c>
      <c r="L43" s="21" t="str">
        <f aca="false">IF($N43="STD",VLOOKUP($B$5,Config!$A:$I,4,FALSE()),IF($N43="JUST",VLOOKUP($B$5,Config!$A:$I,5,FALSE()),VLOOKUP($B$5,Config!$A:$I,6,FALSE())))</f>
        <v>Bulk-billed — note cancer history as justification</v>
      </c>
      <c r="M43" s="22" t="s">
        <v>128</v>
      </c>
      <c r="N43" s="23" t="s">
        <v>42</v>
      </c>
    </row>
    <row r="44" customFormat="false" ht="15" hidden="false" customHeight="true" outlineLevel="0" collapsed="false">
      <c r="A44" s="3"/>
      <c r="B44" s="15" t="s">
        <v>129</v>
      </c>
      <c r="C44" s="16" t="s">
        <v>59</v>
      </c>
      <c r="D44" s="16" t="s">
        <v>130</v>
      </c>
      <c r="E44" s="17"/>
      <c r="F44" s="17"/>
      <c r="G44" s="17"/>
      <c r="H44" s="17"/>
      <c r="I44" s="18" t="str">
        <f aca="false">IF(OR(E44="",H44=""),"",H44-E44)</f>
        <v/>
      </c>
      <c r="J44" s="19" t="str">
        <f aca="false">IF(I44="","",IF(I44&gt;0,"▲ up",IF(I44&lt;0,"▼ down","")))</f>
        <v/>
      </c>
      <c r="K44" s="20" t="str">
        <f aca="false">IF($N44="PRIV","🟡 Go Deeper","🟢 "&amp;VLOOKUP($B$5,Config!$A:$I,9,FALSE()))</f>
        <v>🟢 Free — Medicare</v>
      </c>
      <c r="L44" s="21" t="str">
        <f aca="false">IF($N44="STD",VLOOKUP($B$5,Config!$A:$I,4,FALSE()),IF($N44="JUST",VLOOKUP($B$5,Config!$A:$I,5,FALSE()),VLOOKUP($B$5,Config!$A:$I,6,FALSE())))</f>
        <v>Bulk-billed — note cancer history as justification</v>
      </c>
      <c r="M44" s="22" t="s">
        <v>131</v>
      </c>
      <c r="N44" s="23" t="s">
        <v>42</v>
      </c>
    </row>
    <row r="45" customFormat="false" ht="15" hidden="false" customHeight="true" outlineLevel="0" collapsed="false">
      <c r="A45" s="3"/>
      <c r="B45" s="15" t="s">
        <v>132</v>
      </c>
      <c r="C45" s="16" t="s">
        <v>35</v>
      </c>
      <c r="D45" s="16" t="s">
        <v>133</v>
      </c>
      <c r="E45" s="17"/>
      <c r="F45" s="17"/>
      <c r="G45" s="17"/>
      <c r="H45" s="17"/>
      <c r="I45" s="18" t="str">
        <f aca="false">IF(OR(E45="",H45=""),"",H45-E45)</f>
        <v/>
      </c>
      <c r="J45" s="19" t="str">
        <f aca="false">IF(I45="","",IF(I45&gt;0,"▲ up",IF(I45&lt;0,"▼ down","")))</f>
        <v/>
      </c>
      <c r="K45" s="20" t="str">
        <f aca="false">IF($N45="PRIV","🟡 Go Deeper","🟢 "&amp;VLOOKUP($B$5,Config!$A:$I,9,FALSE()))</f>
        <v>🟡 Go Deeper</v>
      </c>
      <c r="L45" s="21" t="str">
        <f aca="false">IF($N45="STD",VLOOKUP($B$5,Config!$A:$I,4,FALSE()),IF($N45="JUST",VLOOKUP($B$5,Config!$A:$I,5,FALSE()),VLOOKUP($B$5,Config!$A:$I,6,FALSE())))</f>
        <v>Private lab, out of pocket</v>
      </c>
      <c r="M45" s="22" t="s">
        <v>134</v>
      </c>
      <c r="N45" s="23" t="s">
        <v>68</v>
      </c>
    </row>
    <row r="46" customFormat="false" ht="15" hidden="false" customHeight="true" outlineLevel="0" collapsed="false">
      <c r="A46" s="3"/>
      <c r="B46" s="15" t="s">
        <v>135</v>
      </c>
      <c r="C46" s="16" t="s">
        <v>31</v>
      </c>
      <c r="D46" s="16" t="s">
        <v>136</v>
      </c>
      <c r="E46" s="17"/>
      <c r="F46" s="17"/>
      <c r="G46" s="17"/>
      <c r="H46" s="17"/>
      <c r="I46" s="18" t="str">
        <f aca="false">IF(OR(E46="",H46=""),"",H46-E46)</f>
        <v/>
      </c>
      <c r="J46" s="19" t="str">
        <f aca="false">IF(I46="","",IF(I46&gt;0,"▲ up",IF(I46&lt;0,"▼ down","")))</f>
        <v/>
      </c>
      <c r="K46" s="20" t="str">
        <f aca="false">IF($N46="PRIV","🟡 Go Deeper","🟢 "&amp;VLOOKUP($B$5,Config!$A:$I,9,FALSE()))</f>
        <v>🟡 Go Deeper</v>
      </c>
      <c r="L46" s="21" t="str">
        <f aca="false">IF($N46="STD",VLOOKUP($B$5,Config!$A:$I,4,FALSE()),IF($N46="JUST",VLOOKUP($B$5,Config!$A:$I,5,FALSE()),VLOOKUP($B$5,Config!$A:$I,6,FALSE())))</f>
        <v>Private lab, out of pocket</v>
      </c>
      <c r="M46" s="22" t="s">
        <v>137</v>
      </c>
      <c r="N46" s="23" t="s">
        <v>68</v>
      </c>
    </row>
    <row r="47" customFormat="false" ht="15" hidden="false" customHeight="true" outlineLevel="0" collapsed="false">
      <c r="A47" s="14" t="s">
        <v>138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3"/>
    </row>
    <row r="48" customFormat="false" ht="15" hidden="false" customHeight="true" outlineLevel="0" collapsed="false">
      <c r="A48" s="3"/>
      <c r="B48" s="15" t="s">
        <v>139</v>
      </c>
      <c r="C48" s="16" t="s">
        <v>140</v>
      </c>
      <c r="D48" s="16" t="s">
        <v>141</v>
      </c>
      <c r="E48" s="17"/>
      <c r="F48" s="17"/>
      <c r="G48" s="17"/>
      <c r="H48" s="17"/>
      <c r="I48" s="18" t="str">
        <f aca="false">IF(OR(E48="",H48=""),"",H48-E48)</f>
        <v/>
      </c>
      <c r="J48" s="19" t="str">
        <f aca="false">IF(I48="","",IF(I48&gt;0,"▲ up",IF(I48&lt;0,"▼ down","")))</f>
        <v/>
      </c>
      <c r="K48" s="20" t="str">
        <f aca="false">IF($N48="PRIV","🟡 Go Deeper","🟢 "&amp;VLOOKUP($B$5,Config!$A:$I,9,FALSE()))</f>
        <v>🟢 Free — Medicare</v>
      </c>
      <c r="L48" s="21" t="str">
        <f aca="false">IF($N48="STD",VLOOKUP($B$5,Config!$A:$I,4,FALSE()),IF($N48="JUST",VLOOKUP($B$5,Config!$A:$I,5,FALSE()),VLOOKUP($B$5,Config!$A:$I,6,FALSE())))</f>
        <v>Bulk-billed via GP or specialist</v>
      </c>
      <c r="M48" s="22" t="s">
        <v>142</v>
      </c>
      <c r="N48" s="23" t="s">
        <v>23</v>
      </c>
    </row>
    <row r="49" customFormat="false" ht="15" hidden="false" customHeight="true" outlineLevel="0" collapsed="false">
      <c r="A49" s="3"/>
      <c r="B49" s="15" t="s">
        <v>143</v>
      </c>
      <c r="C49" s="16" t="s">
        <v>144</v>
      </c>
      <c r="D49" s="16" t="s">
        <v>145</v>
      </c>
      <c r="E49" s="17"/>
      <c r="F49" s="17"/>
      <c r="G49" s="17"/>
      <c r="H49" s="17"/>
      <c r="I49" s="18" t="str">
        <f aca="false">IF(OR(E49="",H49=""),"",H49-E49)</f>
        <v/>
      </c>
      <c r="J49" s="19" t="str">
        <f aca="false">IF(I49="","",IF(I49&gt;0,"▲ up",IF(I49&lt;0,"▼ down","")))</f>
        <v/>
      </c>
      <c r="K49" s="20" t="str">
        <f aca="false">IF($N49="PRIV","🟡 Go Deeper","🟢 "&amp;VLOOKUP($B$5,Config!$A:$I,9,FALSE()))</f>
        <v>🟡 Go Deeper</v>
      </c>
      <c r="L49" s="21" t="str">
        <f aca="false">IF($N49="STD",VLOOKUP($B$5,Config!$A:$I,4,FALSE()),IF($N49="JUST",VLOOKUP($B$5,Config!$A:$I,5,FALSE()),VLOOKUP($B$5,Config!$A:$I,6,FALSE())))</f>
        <v>Private lab, out of pocket</v>
      </c>
      <c r="M49" s="22" t="s">
        <v>146</v>
      </c>
      <c r="N49" s="23" t="s">
        <v>68</v>
      </c>
    </row>
    <row r="50" customFormat="false" ht="15" hidden="false" customHeight="true" outlineLevel="0" collapsed="false">
      <c r="A50" s="3"/>
      <c r="B50" s="15" t="s">
        <v>147</v>
      </c>
      <c r="C50" s="16" t="s">
        <v>65</v>
      </c>
      <c r="D50" s="16" t="s">
        <v>26</v>
      </c>
      <c r="E50" s="17"/>
      <c r="F50" s="17"/>
      <c r="G50" s="17"/>
      <c r="H50" s="17"/>
      <c r="I50" s="18" t="str">
        <f aca="false">IF(OR(E50="",H50=""),"",H50-E50)</f>
        <v/>
      </c>
      <c r="J50" s="19" t="str">
        <f aca="false">IF(I50="","",IF(I50&gt;0,"▲ up",IF(I50&lt;0,"▼ down","")))</f>
        <v/>
      </c>
      <c r="K50" s="20" t="str">
        <f aca="false">IF($N50="PRIV","🟡 Go Deeper","🟢 "&amp;VLOOKUP($B$5,Config!$A:$I,9,FALSE()))</f>
        <v>🟢 Free — Medicare</v>
      </c>
      <c r="L50" s="21" t="str">
        <f aca="false">IF($N50="STD",VLOOKUP($B$5,Config!$A:$I,4,FALSE()),IF($N50="JUST",VLOOKUP($B$5,Config!$A:$I,5,FALSE()),VLOOKUP($B$5,Config!$A:$I,6,FALSE())))</f>
        <v>Bulk-billed via GP or specialist</v>
      </c>
      <c r="M50" s="22" t="s">
        <v>148</v>
      </c>
      <c r="N50" s="23" t="s">
        <v>23</v>
      </c>
    </row>
    <row r="51" customFormat="false" ht="18.75" hidden="false" customHeight="true" outlineLevel="0" collapsed="false">
      <c r="A51" s="3"/>
      <c r="B51" s="15" t="s">
        <v>149</v>
      </c>
      <c r="C51" s="16"/>
      <c r="D51" s="16" t="s">
        <v>150</v>
      </c>
      <c r="E51" s="17"/>
      <c r="F51" s="17"/>
      <c r="G51" s="17"/>
      <c r="H51" s="17"/>
      <c r="I51" s="18" t="str">
        <f aca="false">IF(OR(E51="",H51=""),"",H51-E51)</f>
        <v/>
      </c>
      <c r="J51" s="19" t="str">
        <f aca="false">IF(I51="","",IF(I51&gt;0,"▲ up",IF(I51&lt;0,"▼ down","")))</f>
        <v/>
      </c>
      <c r="K51" s="20" t="str">
        <f aca="false">IF($N51="PRIV","🟡 Go Deeper","🟢 "&amp;VLOOKUP($B$5,Config!$A:$I,9,FALSE()))</f>
        <v>🟢 Free — Medicare</v>
      </c>
      <c r="L51" s="21" t="str">
        <f aca="false">IF($N51="STD",VLOOKUP($B$5,Config!$A:$I,4,FALSE()),IF($N51="JUST",VLOOKUP($B$5,Config!$A:$I,5,FALSE()),VLOOKUP($B$5,Config!$A:$I,6,FALSE())))</f>
        <v>Bulk-billed — note cancer history as justification</v>
      </c>
      <c r="M51" s="22" t="s">
        <v>151</v>
      </c>
      <c r="N51" s="23" t="s">
        <v>42</v>
      </c>
    </row>
    <row r="52" customFormat="false" ht="18.75" hidden="false" customHeight="true" outlineLevel="0" collapsed="false">
      <c r="A52" s="3"/>
      <c r="B52" s="15" t="s">
        <v>152</v>
      </c>
      <c r="C52" s="16" t="s">
        <v>153</v>
      </c>
      <c r="D52" s="16" t="s">
        <v>154</v>
      </c>
      <c r="E52" s="17"/>
      <c r="F52" s="17"/>
      <c r="G52" s="17"/>
      <c r="H52" s="17"/>
      <c r="I52" s="18" t="str">
        <f aca="false">IF(OR(E52="",H52=""),"",H52-E52)</f>
        <v/>
      </c>
      <c r="J52" s="19" t="str">
        <f aca="false">IF(I52="","",IF(I52&gt;0,"▲ up",IF(I52&lt;0,"▼ down","")))</f>
        <v/>
      </c>
      <c r="K52" s="20" t="str">
        <f aca="false">IF($N52="PRIV","🟡 Go Deeper","🟢 "&amp;VLOOKUP($B$5,Config!$A:$I,9,FALSE()))</f>
        <v>🟢 Free — Medicare</v>
      </c>
      <c r="L52" s="21" t="str">
        <f aca="false">IF($N52="STD",VLOOKUP($B$5,Config!$A:$I,4,FALSE()),IF($N52="JUST",VLOOKUP($B$5,Config!$A:$I,5,FALSE()),VLOOKUP($B$5,Config!$A:$I,6,FALSE())))</f>
        <v>Bulk-billed via GP or specialist</v>
      </c>
      <c r="M52" s="22" t="s">
        <v>155</v>
      </c>
      <c r="N52" s="23" t="s">
        <v>23</v>
      </c>
    </row>
    <row r="53" customFormat="false" ht="18.75" hidden="false" customHeight="true" outlineLevel="0" collapsed="false">
      <c r="A53" s="3"/>
      <c r="B53" s="15" t="s">
        <v>156</v>
      </c>
      <c r="C53" s="16" t="s">
        <v>157</v>
      </c>
      <c r="D53" s="16" t="s">
        <v>158</v>
      </c>
      <c r="E53" s="17"/>
      <c r="F53" s="17"/>
      <c r="G53" s="17"/>
      <c r="H53" s="17"/>
      <c r="I53" s="18" t="str">
        <f aca="false">IF(OR(E53="",H53=""),"",H53-E53)</f>
        <v/>
      </c>
      <c r="J53" s="19" t="str">
        <f aca="false">IF(I53="","",IF(I53&gt;0,"▲ up",IF(I53&lt;0,"▼ down","")))</f>
        <v/>
      </c>
      <c r="K53" s="20" t="str">
        <f aca="false">IF($N53="PRIV","🟡 Go Deeper","🟢 "&amp;VLOOKUP($B$5,Config!$A:$I,9,FALSE()))</f>
        <v>🟢 Free — Medicare</v>
      </c>
      <c r="L53" s="21" t="str">
        <f aca="false">IF($N53="STD",VLOOKUP($B$5,Config!$A:$I,4,FALSE()),IF($N53="JUST",VLOOKUP($B$5,Config!$A:$I,5,FALSE()),VLOOKUP($B$5,Config!$A:$I,6,FALSE())))</f>
        <v>Bulk-billed via GP or specialist</v>
      </c>
      <c r="M53" s="22" t="s">
        <v>159</v>
      </c>
      <c r="N53" s="23" t="s">
        <v>23</v>
      </c>
    </row>
    <row r="54" customFormat="false" ht="18.75" hidden="false" customHeight="true" outlineLevel="0" collapsed="false">
      <c r="A54" s="3"/>
      <c r="B54" s="15" t="s">
        <v>160</v>
      </c>
      <c r="C54" s="16" t="s">
        <v>153</v>
      </c>
      <c r="D54" s="16" t="s">
        <v>161</v>
      </c>
      <c r="E54" s="17"/>
      <c r="F54" s="17"/>
      <c r="G54" s="17"/>
      <c r="H54" s="17"/>
      <c r="I54" s="18" t="str">
        <f aca="false">IF(OR(E54="",H54=""),"",H54-E54)</f>
        <v/>
      </c>
      <c r="J54" s="19" t="str">
        <f aca="false">IF(I54="","",IF(I54&gt;0,"▲ up",IF(I54&lt;0,"▼ down","")))</f>
        <v/>
      </c>
      <c r="K54" s="20" t="str">
        <f aca="false">IF($N54="PRIV","🟡 Go Deeper","🟢 "&amp;VLOOKUP($B$5,Config!$A:$I,9,FALSE()))</f>
        <v>🟢 Free — Medicare</v>
      </c>
      <c r="L54" s="21" t="str">
        <f aca="false">IF($N54="STD",VLOOKUP($B$5,Config!$A:$I,4,FALSE()),IF($N54="JUST",VLOOKUP($B$5,Config!$A:$I,5,FALSE()),VLOOKUP($B$5,Config!$A:$I,6,FALSE())))</f>
        <v>Bulk-billed via GP or specialist</v>
      </c>
      <c r="M54" s="22" t="s">
        <v>162</v>
      </c>
      <c r="N54" s="23" t="s">
        <v>23</v>
      </c>
    </row>
    <row r="55" customFormat="false" ht="15" hidden="false" customHeight="true" outlineLevel="0" collapsed="false">
      <c r="A55" s="14" t="s">
        <v>163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3"/>
    </row>
    <row r="56" customFormat="false" ht="18.75" hidden="false" customHeight="true" outlineLevel="0" collapsed="false">
      <c r="A56" s="3"/>
      <c r="B56" s="15" t="s">
        <v>164</v>
      </c>
      <c r="C56" s="16" t="s">
        <v>46</v>
      </c>
      <c r="D56" s="16" t="s">
        <v>26</v>
      </c>
      <c r="E56" s="17"/>
      <c r="F56" s="17"/>
      <c r="G56" s="17"/>
      <c r="H56" s="17"/>
      <c r="I56" s="18" t="str">
        <f aca="false">IF(OR(E56="",H56=""),"",H56-E56)</f>
        <v/>
      </c>
      <c r="J56" s="19" t="str">
        <f aca="false">IF(I56="","",IF(I56&gt;0,"▲ up",IF(I56&lt;0,"▼ down","")))</f>
        <v/>
      </c>
      <c r="K56" s="20" t="str">
        <f aca="false">IF($N56="PRIV","🟡 Go Deeper","🟢 "&amp;VLOOKUP($B$5,Config!$A:$I,9,FALSE()))</f>
        <v>🟡 Go Deeper</v>
      </c>
      <c r="L56" s="21" t="str">
        <f aca="false">IF($N56="STD",VLOOKUP($B$5,Config!$A:$I,4,FALSE()),IF($N56="JUST",VLOOKUP($B$5,Config!$A:$I,5,FALSE()),VLOOKUP($B$5,Config!$A:$I,6,FALSE())))</f>
        <v>Private lab, out of pocket</v>
      </c>
      <c r="M56" s="22" t="s">
        <v>165</v>
      </c>
      <c r="N56" s="23" t="s">
        <v>68</v>
      </c>
    </row>
    <row r="57" customFormat="false" ht="15" hidden="false" customHeight="true" outlineLevel="0" collapsed="false">
      <c r="A57" s="3"/>
      <c r="B57" s="15" t="s">
        <v>166</v>
      </c>
      <c r="C57" s="16" t="s">
        <v>46</v>
      </c>
      <c r="D57" s="16" t="s">
        <v>26</v>
      </c>
      <c r="E57" s="17"/>
      <c r="F57" s="17"/>
      <c r="G57" s="17"/>
      <c r="H57" s="17"/>
      <c r="I57" s="18" t="str">
        <f aca="false">IF(OR(E57="",H57=""),"",H57-E57)</f>
        <v/>
      </c>
      <c r="J57" s="19" t="str">
        <f aca="false">IF(I57="","",IF(I57&gt;0,"▲ up",IF(I57&lt;0,"▼ down","")))</f>
        <v/>
      </c>
      <c r="K57" s="20" t="str">
        <f aca="false">IF($N57="PRIV","🟡 Go Deeper","🟢 "&amp;VLOOKUP($B$5,Config!$A:$I,9,FALSE()))</f>
        <v>🟡 Go Deeper</v>
      </c>
      <c r="L57" s="21" t="str">
        <f aca="false">IF($N57="STD",VLOOKUP($B$5,Config!$A:$I,4,FALSE()),IF($N57="JUST",VLOOKUP($B$5,Config!$A:$I,5,FALSE()),VLOOKUP($B$5,Config!$A:$I,6,FALSE())))</f>
        <v>Private lab, out of pocket</v>
      </c>
      <c r="M57" s="22" t="s">
        <v>167</v>
      </c>
      <c r="N57" s="23" t="s">
        <v>68</v>
      </c>
    </row>
    <row r="58" customFormat="false" ht="15" hidden="false" customHeight="true" outlineLevel="0" collapsed="false">
      <c r="A58" s="14" t="s">
        <v>168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3"/>
    </row>
    <row r="59" customFormat="false" ht="18.75" hidden="false" customHeight="true" outlineLevel="0" collapsed="false">
      <c r="A59" s="3"/>
      <c r="B59" s="15" t="s">
        <v>169</v>
      </c>
      <c r="C59" s="16" t="s">
        <v>46</v>
      </c>
      <c r="D59" s="16" t="s">
        <v>170</v>
      </c>
      <c r="E59" s="17"/>
      <c r="F59" s="17"/>
      <c r="G59" s="17"/>
      <c r="H59" s="17"/>
      <c r="I59" s="18" t="str">
        <f aca="false">IF(OR(E59="",H59=""),"",H59-E59)</f>
        <v/>
      </c>
      <c r="J59" s="19" t="str">
        <f aca="false">IF(I59="","",IF(I59&gt;0,"▲ up",IF(I59&lt;0,"▼ down","")))</f>
        <v/>
      </c>
      <c r="K59" s="20" t="str">
        <f aca="false">IF($N59="PRIV","🟡 Go Deeper","🟢 "&amp;VLOOKUP($B$5,Config!$A:$I,9,FALSE()))</f>
        <v>🟡 Go Deeper</v>
      </c>
      <c r="L59" s="21" t="str">
        <f aca="false">IF($N59="STD",VLOOKUP($B$5,Config!$A:$I,4,FALSE()),IF($N59="JUST",VLOOKUP($B$5,Config!$A:$I,5,FALSE()),VLOOKUP($B$5,Config!$A:$I,6,FALSE())))</f>
        <v>Private lab, out of pocket</v>
      </c>
      <c r="M59" s="22" t="s">
        <v>171</v>
      </c>
      <c r="N59" s="23" t="s">
        <v>68</v>
      </c>
    </row>
    <row r="60" customFormat="false" ht="18.75" hidden="false" customHeight="true" outlineLevel="0" collapsed="false">
      <c r="A60" s="3"/>
      <c r="B60" s="15" t="s">
        <v>172</v>
      </c>
      <c r="C60" s="16" t="s">
        <v>46</v>
      </c>
      <c r="D60" s="16" t="s">
        <v>173</v>
      </c>
      <c r="E60" s="17"/>
      <c r="F60" s="17"/>
      <c r="G60" s="17"/>
      <c r="H60" s="17"/>
      <c r="I60" s="18" t="str">
        <f aca="false">IF(OR(E60="",H60=""),"",H60-E60)</f>
        <v/>
      </c>
      <c r="J60" s="19" t="str">
        <f aca="false">IF(I60="","",IF(I60&gt;0,"▲ up",IF(I60&lt;0,"▼ down","")))</f>
        <v/>
      </c>
      <c r="K60" s="20" t="str">
        <f aca="false">IF($N60="PRIV","🟡 Go Deeper","🟢 "&amp;VLOOKUP($B$5,Config!$A:$I,9,FALSE()))</f>
        <v>🟡 Go Deeper</v>
      </c>
      <c r="L60" s="21" t="str">
        <f aca="false">IF($N60="STD",VLOOKUP($B$5,Config!$A:$I,4,FALSE()),IF($N60="JUST",VLOOKUP($B$5,Config!$A:$I,5,FALSE()),VLOOKUP($B$5,Config!$A:$I,6,FALSE())))</f>
        <v>Private lab, out of pocket</v>
      </c>
      <c r="M60" s="22" t="s">
        <v>174</v>
      </c>
      <c r="N60" s="23" t="s">
        <v>68</v>
      </c>
    </row>
    <row r="61" customFormat="false" ht="15" hidden="false" customHeight="true" outlineLevel="0" collapsed="false">
      <c r="A61" s="3"/>
      <c r="B61" s="15" t="s">
        <v>175</v>
      </c>
      <c r="C61" s="16" t="s">
        <v>157</v>
      </c>
      <c r="D61" s="16" t="s">
        <v>176</v>
      </c>
      <c r="E61" s="17"/>
      <c r="F61" s="17"/>
      <c r="G61" s="17"/>
      <c r="H61" s="17"/>
      <c r="I61" s="18" t="str">
        <f aca="false">IF(OR(E61="",H61=""),"",H61-E61)</f>
        <v/>
      </c>
      <c r="J61" s="19" t="str">
        <f aca="false">IF(I61="","",IF(I61&gt;0,"▲ up",IF(I61&lt;0,"▼ down","")))</f>
        <v/>
      </c>
      <c r="K61" s="20" t="str">
        <f aca="false">IF($N61="PRIV","🟡 Go Deeper","🟢 "&amp;VLOOKUP($B$5,Config!$A:$I,9,FALSE()))</f>
        <v>🟡 Go Deeper</v>
      </c>
      <c r="L61" s="21" t="str">
        <f aca="false">IF($N61="STD",VLOOKUP($B$5,Config!$A:$I,4,FALSE()),IF($N61="JUST",VLOOKUP($B$5,Config!$A:$I,5,FALSE()),VLOOKUP($B$5,Config!$A:$I,6,FALSE())))</f>
        <v>Private lab, out of pocket</v>
      </c>
      <c r="M61" s="22" t="s">
        <v>177</v>
      </c>
      <c r="N61" s="23" t="s">
        <v>68</v>
      </c>
    </row>
    <row r="62" customFormat="false" ht="15" hidden="false" customHeight="true" outlineLevel="0" collapsed="false">
      <c r="A62" s="14" t="s">
        <v>178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3"/>
    </row>
    <row r="63" customFormat="false" ht="18.75" hidden="false" customHeight="true" outlineLevel="0" collapsed="false">
      <c r="A63" s="3"/>
      <c r="B63" s="15" t="s">
        <v>179</v>
      </c>
      <c r="C63" s="16"/>
      <c r="D63" s="16" t="s">
        <v>180</v>
      </c>
      <c r="E63" s="17"/>
      <c r="F63" s="17"/>
      <c r="G63" s="17"/>
      <c r="H63" s="17"/>
      <c r="I63" s="18" t="str">
        <f aca="false">IF(OR(E63="",H63=""),"",H63-E63)</f>
        <v/>
      </c>
      <c r="J63" s="19" t="str">
        <f aca="false">IF(I63="","",IF(I63&gt;0,"▲ up",IF(I63&lt;0,"▼ down","")))</f>
        <v/>
      </c>
      <c r="K63" s="20" t="str">
        <f aca="false">IF($N63="PRIV","🟡 Go Deeper","🟢 "&amp;VLOOKUP($B$5,Config!$A:$I,9,FALSE()))</f>
        <v>🟡 Go Deeper</v>
      </c>
      <c r="L63" s="21" t="str">
        <f aca="false">IF($N63="STD",VLOOKUP($B$5,Config!$A:$I,4,FALSE()),IF($N63="JUST",VLOOKUP($B$5,Config!$A:$I,5,FALSE()),VLOOKUP($B$5,Config!$A:$I,6,FALSE())))</f>
        <v>Private lab, out of pocket</v>
      </c>
      <c r="M63" s="22" t="s">
        <v>181</v>
      </c>
      <c r="N63" s="23" t="s">
        <v>68</v>
      </c>
    </row>
    <row r="64" customFormat="false" ht="15" hidden="false" customHeight="true" outlineLevel="0" collapsed="false">
      <c r="A64" s="3"/>
      <c r="B64" s="15" t="s">
        <v>182</v>
      </c>
      <c r="C64" s="16"/>
      <c r="D64" s="16" t="s">
        <v>180</v>
      </c>
      <c r="E64" s="17"/>
      <c r="F64" s="17"/>
      <c r="G64" s="17"/>
      <c r="H64" s="17"/>
      <c r="I64" s="18" t="str">
        <f aca="false">IF(OR(E64="",H64=""),"",H64-E64)</f>
        <v/>
      </c>
      <c r="J64" s="19" t="str">
        <f aca="false">IF(I64="","",IF(I64&gt;0,"▲ up",IF(I64&lt;0,"▼ down","")))</f>
        <v/>
      </c>
      <c r="K64" s="20" t="str">
        <f aca="false">IF($N64="PRIV","🟡 Go Deeper","🟢 "&amp;VLOOKUP($B$5,Config!$A:$I,9,FALSE()))</f>
        <v>🟡 Go Deeper</v>
      </c>
      <c r="L64" s="21" t="str">
        <f aca="false">IF($N64="STD",VLOOKUP($B$5,Config!$A:$I,4,FALSE()),IF($N64="JUST",VLOOKUP($B$5,Config!$A:$I,5,FALSE()),VLOOKUP($B$5,Config!$A:$I,6,FALSE())))</f>
        <v>Private lab, out of pocket</v>
      </c>
      <c r="M64" s="22" t="s">
        <v>183</v>
      </c>
      <c r="N64" s="23" t="s">
        <v>68</v>
      </c>
    </row>
    <row r="65" customFormat="false" ht="15" hidden="false" customHeight="true" outlineLevel="0" collapsed="false">
      <c r="A65" s="3"/>
      <c r="B65" s="15" t="s">
        <v>184</v>
      </c>
      <c r="C65" s="16" t="s">
        <v>157</v>
      </c>
      <c r="D65" s="16" t="s">
        <v>185</v>
      </c>
      <c r="E65" s="17"/>
      <c r="F65" s="17"/>
      <c r="G65" s="17"/>
      <c r="H65" s="17"/>
      <c r="I65" s="18" t="str">
        <f aca="false">IF(OR(E65="",H65=""),"",H65-E65)</f>
        <v/>
      </c>
      <c r="J65" s="19" t="str">
        <f aca="false">IF(I65="","",IF(I65&gt;0,"▲ up",IF(I65&lt;0,"▼ down","")))</f>
        <v/>
      </c>
      <c r="K65" s="20" t="str">
        <f aca="false">IF($N65="PRIV","🟡 Go Deeper","🟢 "&amp;VLOOKUP($B$5,Config!$A:$I,9,FALSE()))</f>
        <v>🟡 Go Deeper</v>
      </c>
      <c r="L65" s="21" t="str">
        <f aca="false">IF($N65="STD",VLOOKUP($B$5,Config!$A:$I,4,FALSE()),IF($N65="JUST",VLOOKUP($B$5,Config!$A:$I,5,FALSE()),VLOOKUP($B$5,Config!$A:$I,6,FALSE())))</f>
        <v>Private lab, out of pocket</v>
      </c>
      <c r="M65" s="22" t="s">
        <v>186</v>
      </c>
      <c r="N65" s="23" t="s">
        <v>68</v>
      </c>
    </row>
    <row r="66" customFormat="false" ht="1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customFormat="false" ht="1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customFormat="false" ht="15.75" hidden="false" customHeight="true" outlineLevel="0" collapsed="false">
      <c r="A68" s="24" t="s">
        <v>187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customFormat="false" ht="15" hidden="false" customHeight="true" outlineLevel="0" collapsed="false">
      <c r="A69" s="25" t="s">
        <v>188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customFormat="false" ht="1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customFormat="false" ht="15" hidden="false" customHeight="true" outlineLevel="0" collapsed="false">
      <c r="A71" s="26" t="s">
        <v>189</v>
      </c>
      <c r="B71" s="27" t="s">
        <v>70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customFormat="false" ht="1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customFormat="false" ht="15" hidden="false" customHeight="true" outlineLevel="0" collapsed="false">
      <c r="A73" s="28" t="s">
        <v>190</v>
      </c>
      <c r="B73" s="29" t="s">
        <v>191</v>
      </c>
      <c r="C73" s="29" t="s">
        <v>192</v>
      </c>
      <c r="D73" s="29" t="s">
        <v>193</v>
      </c>
      <c r="E73" s="29" t="s">
        <v>194</v>
      </c>
      <c r="F73" s="3"/>
      <c r="G73" s="3"/>
      <c r="H73" s="3"/>
      <c r="I73" s="3"/>
      <c r="J73" s="3"/>
      <c r="K73" s="3"/>
      <c r="L73" s="3"/>
      <c r="M73" s="3"/>
      <c r="N73" s="3"/>
    </row>
    <row r="74" customFormat="false" ht="15" hidden="false" customHeight="true" outlineLevel="0" collapsed="false">
      <c r="A74" s="30" t="s">
        <v>195</v>
      </c>
      <c r="B74" s="31" t="n">
        <f aca="false">IFERROR(INDEX($E$9:$E$65,MATCH($B$71,$B$9:$B$65,0)),"")</f>
        <v>0</v>
      </c>
      <c r="C74" s="31" t="n">
        <f aca="false">IFERROR(INDEX($F$9:$F$65,MATCH($B$71,$B$9:$B$65,0)),"")</f>
        <v>0</v>
      </c>
      <c r="D74" s="31" t="n">
        <f aca="false">IFERROR(INDEX($G$9:$G$65,MATCH($B$71,$B$9:$B$65,0)),"")</f>
        <v>0</v>
      </c>
      <c r="E74" s="31" t="n">
        <f aca="false">IFERROR(INDEX($H$9:$H$65,MATCH($B$71,$B$9:$B$65,0)),"")</f>
        <v>0</v>
      </c>
      <c r="F74" s="3"/>
      <c r="G74" s="3"/>
      <c r="H74" s="3"/>
      <c r="I74" s="3"/>
      <c r="J74" s="3"/>
      <c r="K74" s="3"/>
      <c r="L74" s="3"/>
      <c r="M74" s="3"/>
      <c r="N74" s="3"/>
    </row>
  </sheetData>
  <sheetProtection sheet="true" formatCells="false" formatColumns="false" formatRows="false" sort="false" autoFilter="false"/>
  <mergeCells count="8">
    <mergeCell ref="A9:M9"/>
    <mergeCell ref="A24:M24"/>
    <mergeCell ref="A31:M31"/>
    <mergeCell ref="A39:M39"/>
    <mergeCell ref="A47:M47"/>
    <mergeCell ref="A55:M55"/>
    <mergeCell ref="A58:M58"/>
    <mergeCell ref="A62:M62"/>
  </mergeCells>
  <dataValidations count="2">
    <dataValidation allowBlank="false" errorStyle="stop" operator="between" prompt="The tier and coverage columns update to match your health system." promptTitle="Choose your country" showDropDown="false" showErrorMessage="true" showInputMessage="true" sqref="B5" type="list">
      <formula1>CountryList</formula1>
      <formula2>0</formula2>
    </dataValidation>
    <dataValidation allowBlank="true" errorStyle="stop" operator="between" showDropDown="false" showErrorMessage="false" showInputMessage="false" sqref="B71" type="list">
      <formula1>'Lab Tracker'!$B$9:$B$65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4"/>
    <col collapsed="false" customWidth="true" hidden="false" outlineLevel="0" max="3" min="3" style="1" width="10"/>
    <col collapsed="false" customWidth="true" hidden="false" outlineLevel="0" max="4" min="4" style="1" width="16"/>
    <col collapsed="false" customWidth="true" hidden="false" outlineLevel="0" max="20" min="5" style="1" width="9"/>
    <col collapsed="false" customWidth="true" hidden="false" outlineLevel="0" max="21" min="21" style="1" width="10"/>
    <col collapsed="false" customWidth="true" hidden="false" outlineLevel="0" max="22" min="22" style="1" width="11"/>
  </cols>
  <sheetData>
    <row r="1" customFormat="false" ht="19.5" hidden="false" customHeight="true" outlineLevel="0" collapsed="false">
      <c r="A1" s="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true" outlineLevel="0" collapsed="false">
      <c r="A2" s="4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Format="false" ht="15" hidden="false" customHeight="true" outlineLevel="0" collapsed="false">
      <c r="A4" s="26" t="s">
        <v>198</v>
      </c>
      <c r="B4" s="32" t="n">
        <f aca="true">IF('Lab Tracker'!B4="", TODAY(), 'Lab Tracker'!B4)</f>
        <v>46273</v>
      </c>
      <c r="C4" s="25" t="s">
        <v>199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customFormat="false" ht="1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customFormat="false" ht="19.5" hidden="false" customHeight="true" outlineLevel="0" collapsed="false">
      <c r="A6" s="33"/>
      <c r="B6" s="33"/>
      <c r="C6" s="33"/>
      <c r="D6" s="33"/>
      <c r="E6" s="34" t="s">
        <v>200</v>
      </c>
      <c r="F6" s="34"/>
      <c r="G6" s="34"/>
      <c r="H6" s="34"/>
      <c r="I6" s="35" t="s">
        <v>201</v>
      </c>
      <c r="J6" s="35"/>
      <c r="K6" s="35"/>
      <c r="L6" s="35"/>
      <c r="M6" s="36" t="s">
        <v>202</v>
      </c>
      <c r="N6" s="36"/>
      <c r="O6" s="36"/>
      <c r="P6" s="36"/>
      <c r="Q6" s="37" t="s">
        <v>203</v>
      </c>
      <c r="R6" s="37"/>
      <c r="S6" s="37"/>
      <c r="T6" s="37"/>
      <c r="U6" s="38"/>
      <c r="V6" s="38"/>
    </row>
    <row r="7" customFormat="false" ht="18" hidden="false" customHeight="true" outlineLevel="0" collapsed="false">
      <c r="A7" s="10" t="s">
        <v>5</v>
      </c>
      <c r="B7" s="10" t="s">
        <v>6</v>
      </c>
      <c r="C7" s="10" t="s">
        <v>7</v>
      </c>
      <c r="D7" s="10" t="s">
        <v>8</v>
      </c>
      <c r="E7" s="39" t="s">
        <v>204</v>
      </c>
      <c r="F7" s="39" t="s">
        <v>205</v>
      </c>
      <c r="G7" s="39" t="s">
        <v>206</v>
      </c>
      <c r="H7" s="39" t="s">
        <v>207</v>
      </c>
      <c r="I7" s="40" t="s">
        <v>204</v>
      </c>
      <c r="J7" s="40" t="s">
        <v>205</v>
      </c>
      <c r="K7" s="40" t="s">
        <v>206</v>
      </c>
      <c r="L7" s="40" t="s">
        <v>207</v>
      </c>
      <c r="M7" s="41" t="s">
        <v>204</v>
      </c>
      <c r="N7" s="41" t="s">
        <v>205</v>
      </c>
      <c r="O7" s="41" t="s">
        <v>206</v>
      </c>
      <c r="P7" s="41" t="s">
        <v>207</v>
      </c>
      <c r="Q7" s="42" t="s">
        <v>204</v>
      </c>
      <c r="R7" s="42" t="s">
        <v>205</v>
      </c>
      <c r="S7" s="42" t="s">
        <v>206</v>
      </c>
      <c r="T7" s="42" t="s">
        <v>207</v>
      </c>
      <c r="U7" s="43" t="s">
        <v>208</v>
      </c>
      <c r="V7" s="43" t="s">
        <v>14</v>
      </c>
    </row>
    <row r="8" customFormat="false" ht="15" hidden="false" customHeight="true" outlineLevel="0" collapsed="false">
      <c r="A8" s="3"/>
      <c r="B8" s="3"/>
      <c r="C8" s="3"/>
      <c r="D8" s="12" t="s">
        <v>19</v>
      </c>
      <c r="E8" s="44" t="n">
        <f aca="false">$B$4+0</f>
        <v>46273</v>
      </c>
      <c r="F8" s="44" t="n">
        <f aca="false">$B$4+29</f>
        <v>46302</v>
      </c>
      <c r="G8" s="44" t="n">
        <f aca="false">$B$4+59</f>
        <v>46332</v>
      </c>
      <c r="H8" s="44" t="n">
        <f aca="false">$B$4+89</f>
        <v>46362</v>
      </c>
      <c r="I8" s="44" t="n">
        <f aca="false">$B$4+90</f>
        <v>46363</v>
      </c>
      <c r="J8" s="44" t="n">
        <f aca="false">$B$4+119</f>
        <v>46392</v>
      </c>
      <c r="K8" s="44" t="n">
        <f aca="false">$B$4+149</f>
        <v>46422</v>
      </c>
      <c r="L8" s="44" t="n">
        <f aca="false">$B$4+179</f>
        <v>46452</v>
      </c>
      <c r="M8" s="44" t="n">
        <f aca="false">$B$4+180</f>
        <v>46453</v>
      </c>
      <c r="N8" s="44" t="n">
        <f aca="false">$B$4+209</f>
        <v>46482</v>
      </c>
      <c r="O8" s="44" t="n">
        <f aca="false">$B$4+239</f>
        <v>46512</v>
      </c>
      <c r="P8" s="44" t="n">
        <f aca="false">$B$4+269</f>
        <v>46542</v>
      </c>
      <c r="Q8" s="44" t="n">
        <f aca="false">$B$4+270</f>
        <v>46543</v>
      </c>
      <c r="R8" s="44" t="n">
        <f aca="false">$B$4+299</f>
        <v>46572</v>
      </c>
      <c r="S8" s="44" t="n">
        <f aca="false">$B$4+329</f>
        <v>46602</v>
      </c>
      <c r="T8" s="44" t="n">
        <f aca="false">$B$4+359</f>
        <v>46632</v>
      </c>
      <c r="U8" s="3"/>
      <c r="V8" s="3"/>
    </row>
    <row r="9" customFormat="false" ht="15" hidden="false" customHeight="true" outlineLevel="0" collapsed="false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customFormat="false" ht="15" hidden="false" customHeight="true" outlineLevel="0" collapsed="false">
      <c r="A10" s="3"/>
      <c r="B10" s="15" t="s">
        <v>21</v>
      </c>
      <c r="C10" s="16"/>
      <c r="D10" s="16"/>
      <c r="E10" s="17"/>
      <c r="F10" s="17"/>
      <c r="G10" s="17"/>
      <c r="H10" s="17"/>
      <c r="I10" s="45" t="str">
        <f aca="false">IF(H10="","",H10)</f>
        <v/>
      </c>
      <c r="J10" s="17"/>
      <c r="K10" s="17"/>
      <c r="L10" s="17"/>
      <c r="M10" s="45" t="str">
        <f aca="false">IF(L10="","",L10)</f>
        <v/>
      </c>
      <c r="N10" s="17"/>
      <c r="O10" s="17"/>
      <c r="P10" s="17"/>
      <c r="Q10" s="45" t="str">
        <f aca="false">IF(P10="","",P10)</f>
        <v/>
      </c>
      <c r="R10" s="17"/>
      <c r="S10" s="17"/>
      <c r="T10" s="17"/>
      <c r="U10" s="46" t="str">
        <f aca="false">IF(OR(E10="",T10=""),"",T10-E10)</f>
        <v/>
      </c>
      <c r="V10" s="47" t="str">
        <f aca="false">IF(U10="","",IF(U10&gt;0,"▲ up",IF(U10&lt;0,"▼ down","")))</f>
        <v/>
      </c>
    </row>
    <row r="11" customFormat="false" ht="15" hidden="false" customHeight="true" outlineLevel="0" collapsed="false">
      <c r="A11" s="3"/>
      <c r="B11" s="15" t="s">
        <v>24</v>
      </c>
      <c r="C11" s="16" t="s">
        <v>25</v>
      </c>
      <c r="D11" s="16" t="s">
        <v>26</v>
      </c>
      <c r="E11" s="17"/>
      <c r="F11" s="17"/>
      <c r="G11" s="17"/>
      <c r="H11" s="17"/>
      <c r="I11" s="45" t="str">
        <f aca="false">IF(H11="","",H11)</f>
        <v/>
      </c>
      <c r="J11" s="17"/>
      <c r="K11" s="17"/>
      <c r="L11" s="17"/>
      <c r="M11" s="45" t="str">
        <f aca="false">IF(L11="","",L11)</f>
        <v/>
      </c>
      <c r="N11" s="17"/>
      <c r="O11" s="17"/>
      <c r="P11" s="17"/>
      <c r="Q11" s="45" t="str">
        <f aca="false">IF(P11="","",P11)</f>
        <v/>
      </c>
      <c r="R11" s="17"/>
      <c r="S11" s="17"/>
      <c r="T11" s="17"/>
      <c r="U11" s="46" t="str">
        <f aca="false">IF(OR(E11="",T11=""),"",T11-E11)</f>
        <v/>
      </c>
      <c r="V11" s="47" t="str">
        <f aca="false">IF(U11="","",IF(U11&gt;0,"▲ up",IF(U11&lt;0,"▼ down","")))</f>
        <v/>
      </c>
    </row>
    <row r="12" customFormat="false" ht="15" hidden="false" customHeight="true" outlineLevel="0" collapsed="false">
      <c r="A12" s="3"/>
      <c r="B12" s="15" t="s">
        <v>28</v>
      </c>
      <c r="C12" s="16"/>
      <c r="D12" s="16"/>
      <c r="E12" s="17"/>
      <c r="F12" s="17"/>
      <c r="G12" s="17"/>
      <c r="H12" s="17"/>
      <c r="I12" s="45" t="str">
        <f aca="false">IF(H12="","",H12)</f>
        <v/>
      </c>
      <c r="J12" s="17"/>
      <c r="K12" s="17"/>
      <c r="L12" s="17"/>
      <c r="M12" s="45" t="str">
        <f aca="false">IF(L12="","",L12)</f>
        <v/>
      </c>
      <c r="N12" s="17"/>
      <c r="O12" s="17"/>
      <c r="P12" s="17"/>
      <c r="Q12" s="45" t="str">
        <f aca="false">IF(P12="","",P12)</f>
        <v/>
      </c>
      <c r="R12" s="17"/>
      <c r="S12" s="17"/>
      <c r="T12" s="17"/>
      <c r="U12" s="46" t="str">
        <f aca="false">IF(OR(E12="",T12=""),"",T12-E12)</f>
        <v/>
      </c>
      <c r="V12" s="47" t="str">
        <f aca="false">IF(U12="","",IF(U12&gt;0,"▲ up",IF(U12&lt;0,"▼ down","")))</f>
        <v/>
      </c>
    </row>
    <row r="13" customFormat="false" ht="15" hidden="false" customHeight="true" outlineLevel="0" collapsed="false">
      <c r="A13" s="3"/>
      <c r="B13" s="15" t="s">
        <v>30</v>
      </c>
      <c r="C13" s="16" t="s">
        <v>31</v>
      </c>
      <c r="D13" s="16" t="s">
        <v>32</v>
      </c>
      <c r="E13" s="17"/>
      <c r="F13" s="17"/>
      <c r="G13" s="17"/>
      <c r="H13" s="17"/>
      <c r="I13" s="45" t="str">
        <f aca="false">IF(H13="","",H13)</f>
        <v/>
      </c>
      <c r="J13" s="17"/>
      <c r="K13" s="17"/>
      <c r="L13" s="17"/>
      <c r="M13" s="45" t="str">
        <f aca="false">IF(L13="","",L13)</f>
        <v/>
      </c>
      <c r="N13" s="17"/>
      <c r="O13" s="17"/>
      <c r="P13" s="17"/>
      <c r="Q13" s="45" t="str">
        <f aca="false">IF(P13="","",P13)</f>
        <v/>
      </c>
      <c r="R13" s="17"/>
      <c r="S13" s="17"/>
      <c r="T13" s="17"/>
      <c r="U13" s="46" t="str">
        <f aca="false">IF(OR(E13="",T13=""),"",T13-E13)</f>
        <v/>
      </c>
      <c r="V13" s="47" t="str">
        <f aca="false">IF(U13="","",IF(U13&gt;0,"▲ up",IF(U13&lt;0,"▼ down","")))</f>
        <v/>
      </c>
    </row>
    <row r="14" customFormat="false" ht="15" hidden="false" customHeight="true" outlineLevel="0" collapsed="false">
      <c r="A14" s="3"/>
      <c r="B14" s="15" t="s">
        <v>34</v>
      </c>
      <c r="C14" s="16" t="s">
        <v>35</v>
      </c>
      <c r="D14" s="16" t="s">
        <v>36</v>
      </c>
      <c r="E14" s="17"/>
      <c r="F14" s="17"/>
      <c r="G14" s="17"/>
      <c r="H14" s="17"/>
      <c r="I14" s="45" t="str">
        <f aca="false">IF(H14="","",H14)</f>
        <v/>
      </c>
      <c r="J14" s="17"/>
      <c r="K14" s="17"/>
      <c r="L14" s="17"/>
      <c r="M14" s="45" t="str">
        <f aca="false">IF(L14="","",L14)</f>
        <v/>
      </c>
      <c r="N14" s="17"/>
      <c r="O14" s="17"/>
      <c r="P14" s="17"/>
      <c r="Q14" s="45" t="str">
        <f aca="false">IF(P14="","",P14)</f>
        <v/>
      </c>
      <c r="R14" s="17"/>
      <c r="S14" s="17"/>
      <c r="T14" s="17"/>
      <c r="U14" s="46" t="str">
        <f aca="false">IF(OR(E14="",T14=""),"",T14-E14)</f>
        <v/>
      </c>
      <c r="V14" s="47" t="str">
        <f aca="false">IF(U14="","",IF(U14&gt;0,"▲ up",IF(U14&lt;0,"▼ down","")))</f>
        <v/>
      </c>
    </row>
    <row r="15" customFormat="false" ht="15" hidden="false" customHeight="true" outlineLevel="0" collapsed="false">
      <c r="A15" s="3"/>
      <c r="B15" s="15" t="s">
        <v>38</v>
      </c>
      <c r="C15" s="16" t="s">
        <v>39</v>
      </c>
      <c r="D15" s="16" t="s">
        <v>40</v>
      </c>
      <c r="E15" s="17"/>
      <c r="F15" s="17"/>
      <c r="G15" s="17"/>
      <c r="H15" s="17"/>
      <c r="I15" s="45" t="str">
        <f aca="false">IF(H15="","",H15)</f>
        <v/>
      </c>
      <c r="J15" s="17"/>
      <c r="K15" s="17"/>
      <c r="L15" s="17"/>
      <c r="M15" s="45" t="str">
        <f aca="false">IF(L15="","",L15)</f>
        <v/>
      </c>
      <c r="N15" s="17"/>
      <c r="O15" s="17"/>
      <c r="P15" s="17"/>
      <c r="Q15" s="45" t="str">
        <f aca="false">IF(P15="","",P15)</f>
        <v/>
      </c>
      <c r="R15" s="17"/>
      <c r="S15" s="17"/>
      <c r="T15" s="17"/>
      <c r="U15" s="46" t="str">
        <f aca="false">IF(OR(E15="",T15=""),"",T15-E15)</f>
        <v/>
      </c>
      <c r="V15" s="47" t="str">
        <f aca="false">IF(U15="","",IF(U15&gt;0,"▲ up",IF(U15&lt;0,"▼ down","")))</f>
        <v/>
      </c>
    </row>
    <row r="16" customFormat="false" ht="15" hidden="false" customHeight="true" outlineLevel="0" collapsed="false">
      <c r="A16" s="3"/>
      <c r="B16" s="15" t="s">
        <v>43</v>
      </c>
      <c r="C16" s="16" t="s">
        <v>35</v>
      </c>
      <c r="D16" s="16" t="s">
        <v>26</v>
      </c>
      <c r="E16" s="17"/>
      <c r="F16" s="17"/>
      <c r="G16" s="17"/>
      <c r="H16" s="17"/>
      <c r="I16" s="45" t="str">
        <f aca="false">IF(H16="","",H16)</f>
        <v/>
      </c>
      <c r="J16" s="17"/>
      <c r="K16" s="17"/>
      <c r="L16" s="17"/>
      <c r="M16" s="45" t="str">
        <f aca="false">IF(L16="","",L16)</f>
        <v/>
      </c>
      <c r="N16" s="17"/>
      <c r="O16" s="17"/>
      <c r="P16" s="17"/>
      <c r="Q16" s="45" t="str">
        <f aca="false">IF(P16="","",P16)</f>
        <v/>
      </c>
      <c r="R16" s="17"/>
      <c r="S16" s="17"/>
      <c r="T16" s="17"/>
      <c r="U16" s="46" t="str">
        <f aca="false">IF(OR(E16="",T16=""),"",T16-E16)</f>
        <v/>
      </c>
      <c r="V16" s="47" t="str">
        <f aca="false">IF(U16="","",IF(U16&gt;0,"▲ up",IF(U16&lt;0,"▼ down","")))</f>
        <v/>
      </c>
    </row>
    <row r="17" customFormat="false" ht="15" hidden="false" customHeight="true" outlineLevel="0" collapsed="false">
      <c r="A17" s="3"/>
      <c r="B17" s="15" t="s">
        <v>45</v>
      </c>
      <c r="C17" s="16" t="s">
        <v>46</v>
      </c>
      <c r="D17" s="16" t="s">
        <v>47</v>
      </c>
      <c r="E17" s="17"/>
      <c r="F17" s="17"/>
      <c r="G17" s="17"/>
      <c r="H17" s="17"/>
      <c r="I17" s="45" t="str">
        <f aca="false">IF(H17="","",H17)</f>
        <v/>
      </c>
      <c r="J17" s="17"/>
      <c r="K17" s="17"/>
      <c r="L17" s="17"/>
      <c r="M17" s="45" t="str">
        <f aca="false">IF(L17="","",L17)</f>
        <v/>
      </c>
      <c r="N17" s="17"/>
      <c r="O17" s="17"/>
      <c r="P17" s="17"/>
      <c r="Q17" s="45" t="str">
        <f aca="false">IF(P17="","",P17)</f>
        <v/>
      </c>
      <c r="R17" s="17"/>
      <c r="S17" s="17"/>
      <c r="T17" s="17"/>
      <c r="U17" s="46" t="str">
        <f aca="false">IF(OR(E17="",T17=""),"",T17-E17)</f>
        <v/>
      </c>
      <c r="V17" s="47" t="str">
        <f aca="false">IF(U17="","",IF(U17&gt;0,"▲ up",IF(U17&lt;0,"▼ down","")))</f>
        <v/>
      </c>
    </row>
    <row r="18" customFormat="false" ht="15" hidden="false" customHeight="true" outlineLevel="0" collapsed="false">
      <c r="A18" s="3"/>
      <c r="B18" s="15" t="s">
        <v>49</v>
      </c>
      <c r="C18" s="16" t="s">
        <v>35</v>
      </c>
      <c r="D18" s="16" t="s">
        <v>50</v>
      </c>
      <c r="E18" s="17"/>
      <c r="F18" s="17"/>
      <c r="G18" s="17"/>
      <c r="H18" s="17"/>
      <c r="I18" s="45" t="str">
        <f aca="false">IF(H18="","",H18)</f>
        <v/>
      </c>
      <c r="J18" s="17"/>
      <c r="K18" s="17"/>
      <c r="L18" s="17"/>
      <c r="M18" s="45" t="str">
        <f aca="false">IF(L18="","",L18)</f>
        <v/>
      </c>
      <c r="N18" s="17"/>
      <c r="O18" s="17"/>
      <c r="P18" s="17"/>
      <c r="Q18" s="45" t="str">
        <f aca="false">IF(P18="","",P18)</f>
        <v/>
      </c>
      <c r="R18" s="17"/>
      <c r="S18" s="17"/>
      <c r="T18" s="17"/>
      <c r="U18" s="46" t="str">
        <f aca="false">IF(OR(E18="",T18=""),"",T18-E18)</f>
        <v/>
      </c>
      <c r="V18" s="47" t="str">
        <f aca="false">IF(U18="","",IF(U18&gt;0,"▲ up",IF(U18&lt;0,"▼ down","")))</f>
        <v/>
      </c>
    </row>
    <row r="19" customFormat="false" ht="15" hidden="false" customHeight="true" outlineLevel="0" collapsed="false">
      <c r="A19" s="3"/>
      <c r="B19" s="15" t="s">
        <v>52</v>
      </c>
      <c r="C19" s="16" t="s">
        <v>35</v>
      </c>
      <c r="D19" s="16" t="s">
        <v>53</v>
      </c>
      <c r="E19" s="17"/>
      <c r="F19" s="17"/>
      <c r="G19" s="17"/>
      <c r="H19" s="17"/>
      <c r="I19" s="45" t="str">
        <f aca="false">IF(H19="","",H19)</f>
        <v/>
      </c>
      <c r="J19" s="17"/>
      <c r="K19" s="17"/>
      <c r="L19" s="17"/>
      <c r="M19" s="45" t="str">
        <f aca="false">IF(L19="","",L19)</f>
        <v/>
      </c>
      <c r="N19" s="17"/>
      <c r="O19" s="17"/>
      <c r="P19" s="17"/>
      <c r="Q19" s="45" t="str">
        <f aca="false">IF(P19="","",P19)</f>
        <v/>
      </c>
      <c r="R19" s="17"/>
      <c r="S19" s="17"/>
      <c r="T19" s="17"/>
      <c r="U19" s="46" t="str">
        <f aca="false">IF(OR(E19="",T19=""),"",T19-E19)</f>
        <v/>
      </c>
      <c r="V19" s="47" t="str">
        <f aca="false">IF(U19="","",IF(U19&gt;0,"▲ up",IF(U19&lt;0,"▼ down","")))</f>
        <v/>
      </c>
    </row>
    <row r="20" customFormat="false" ht="15" hidden="false" customHeight="true" outlineLevel="0" collapsed="false">
      <c r="A20" s="3"/>
      <c r="B20" s="15" t="s">
        <v>55</v>
      </c>
      <c r="C20" s="16" t="s">
        <v>25</v>
      </c>
      <c r="D20" s="16" t="s">
        <v>56</v>
      </c>
      <c r="E20" s="17"/>
      <c r="F20" s="17"/>
      <c r="G20" s="17"/>
      <c r="H20" s="17"/>
      <c r="I20" s="45" t="str">
        <f aca="false">IF(H20="","",H20)</f>
        <v/>
      </c>
      <c r="J20" s="17"/>
      <c r="K20" s="17"/>
      <c r="L20" s="17"/>
      <c r="M20" s="45" t="str">
        <f aca="false">IF(L20="","",L20)</f>
        <v/>
      </c>
      <c r="N20" s="17"/>
      <c r="O20" s="17"/>
      <c r="P20" s="17"/>
      <c r="Q20" s="45" t="str">
        <f aca="false">IF(P20="","",P20)</f>
        <v/>
      </c>
      <c r="R20" s="17"/>
      <c r="S20" s="17"/>
      <c r="T20" s="17"/>
      <c r="U20" s="46" t="str">
        <f aca="false">IF(OR(E20="",T20=""),"",T20-E20)</f>
        <v/>
      </c>
      <c r="V20" s="47" t="str">
        <f aca="false">IF(U20="","",IF(U20&gt;0,"▲ up",IF(U20&lt;0,"▼ down","")))</f>
        <v/>
      </c>
    </row>
    <row r="21" customFormat="false" ht="15" hidden="false" customHeight="true" outlineLevel="0" collapsed="false">
      <c r="A21" s="3"/>
      <c r="B21" s="15" t="s">
        <v>58</v>
      </c>
      <c r="C21" s="16" t="s">
        <v>59</v>
      </c>
      <c r="D21" s="16" t="s">
        <v>40</v>
      </c>
      <c r="E21" s="17"/>
      <c r="F21" s="17"/>
      <c r="G21" s="17"/>
      <c r="H21" s="17"/>
      <c r="I21" s="45" t="str">
        <f aca="false">IF(H21="","",H21)</f>
        <v/>
      </c>
      <c r="J21" s="17"/>
      <c r="K21" s="17"/>
      <c r="L21" s="17"/>
      <c r="M21" s="45" t="str">
        <f aca="false">IF(L21="","",L21)</f>
        <v/>
      </c>
      <c r="N21" s="17"/>
      <c r="O21" s="17"/>
      <c r="P21" s="17"/>
      <c r="Q21" s="45" t="str">
        <f aca="false">IF(P21="","",P21)</f>
        <v/>
      </c>
      <c r="R21" s="17"/>
      <c r="S21" s="17"/>
      <c r="T21" s="17"/>
      <c r="U21" s="46" t="str">
        <f aca="false">IF(OR(E21="",T21=""),"",T21-E21)</f>
        <v/>
      </c>
      <c r="V21" s="47" t="str">
        <f aca="false">IF(U21="","",IF(U21&gt;0,"▲ up",IF(U21&lt;0,"▼ down","")))</f>
        <v/>
      </c>
    </row>
    <row r="22" customFormat="false" ht="15" hidden="false" customHeight="true" outlineLevel="0" collapsed="false">
      <c r="A22" s="3"/>
      <c r="B22" s="15" t="s">
        <v>61</v>
      </c>
      <c r="C22" s="16"/>
      <c r="D22" s="16" t="s">
        <v>62</v>
      </c>
      <c r="E22" s="17"/>
      <c r="F22" s="17"/>
      <c r="G22" s="17"/>
      <c r="H22" s="17"/>
      <c r="I22" s="45" t="str">
        <f aca="false">IF(H22="","",H22)</f>
        <v/>
      </c>
      <c r="J22" s="17"/>
      <c r="K22" s="17"/>
      <c r="L22" s="17"/>
      <c r="M22" s="45" t="str">
        <f aca="false">IF(L22="","",L22)</f>
        <v/>
      </c>
      <c r="N22" s="17"/>
      <c r="O22" s="17"/>
      <c r="P22" s="17"/>
      <c r="Q22" s="45" t="str">
        <f aca="false">IF(P22="","",P22)</f>
        <v/>
      </c>
      <c r="R22" s="17"/>
      <c r="S22" s="17"/>
      <c r="T22" s="17"/>
      <c r="U22" s="46" t="str">
        <f aca="false">IF(OR(E22="",T22=""),"",T22-E22)</f>
        <v/>
      </c>
      <c r="V22" s="47" t="str">
        <f aca="false">IF(U22="","",IF(U22&gt;0,"▲ up",IF(U22&lt;0,"▼ down","")))</f>
        <v/>
      </c>
    </row>
    <row r="23" customFormat="false" ht="15" hidden="false" customHeight="true" outlineLevel="0" collapsed="false">
      <c r="A23" s="3"/>
      <c r="B23" s="15" t="s">
        <v>64</v>
      </c>
      <c r="C23" s="16" t="s">
        <v>65</v>
      </c>
      <c r="D23" s="16" t="s">
        <v>66</v>
      </c>
      <c r="E23" s="17"/>
      <c r="F23" s="17"/>
      <c r="G23" s="17"/>
      <c r="H23" s="17"/>
      <c r="I23" s="45" t="str">
        <f aca="false">IF(H23="","",H23)</f>
        <v/>
      </c>
      <c r="J23" s="17"/>
      <c r="K23" s="17"/>
      <c r="L23" s="17"/>
      <c r="M23" s="45" t="str">
        <f aca="false">IF(L23="","",L23)</f>
        <v/>
      </c>
      <c r="N23" s="17"/>
      <c r="O23" s="17"/>
      <c r="P23" s="17"/>
      <c r="Q23" s="45" t="str">
        <f aca="false">IF(P23="","",P23)</f>
        <v/>
      </c>
      <c r="R23" s="17"/>
      <c r="S23" s="17"/>
      <c r="T23" s="17"/>
      <c r="U23" s="46" t="str">
        <f aca="false">IF(OR(E23="",T23=""),"",T23-E23)</f>
        <v/>
      </c>
      <c r="V23" s="47" t="str">
        <f aca="false">IF(U23="","",IF(U23&gt;0,"▲ up",IF(U23&lt;0,"▼ down","")))</f>
        <v/>
      </c>
    </row>
    <row r="24" customFormat="false" ht="15" hidden="false" customHeight="true" outlineLevel="0" collapsed="false">
      <c r="A24" s="14" t="s">
        <v>69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customFormat="false" ht="15" hidden="false" customHeight="true" outlineLevel="0" collapsed="false">
      <c r="A25" s="3"/>
      <c r="B25" s="15" t="s">
        <v>70</v>
      </c>
      <c r="C25" s="16" t="s">
        <v>71</v>
      </c>
      <c r="D25" s="16" t="s">
        <v>72</v>
      </c>
      <c r="E25" s="17"/>
      <c r="F25" s="17"/>
      <c r="G25" s="17"/>
      <c r="H25" s="17"/>
      <c r="I25" s="45" t="str">
        <f aca="false">IF(H25="","",H25)</f>
        <v/>
      </c>
      <c r="J25" s="17"/>
      <c r="K25" s="17"/>
      <c r="L25" s="17"/>
      <c r="M25" s="45" t="str">
        <f aca="false">IF(L25="","",L25)</f>
        <v/>
      </c>
      <c r="N25" s="17"/>
      <c r="O25" s="17"/>
      <c r="P25" s="17"/>
      <c r="Q25" s="45" t="str">
        <f aca="false">IF(P25="","",P25)</f>
        <v/>
      </c>
      <c r="R25" s="17"/>
      <c r="S25" s="17"/>
      <c r="T25" s="17"/>
      <c r="U25" s="46" t="str">
        <f aca="false">IF(OR(E25="",T25=""),"",T25-E25)</f>
        <v/>
      </c>
      <c r="V25" s="47" t="str">
        <f aca="false">IF(U25="","",IF(U25&gt;0,"▲ up",IF(U25&lt;0,"▼ down","")))</f>
        <v/>
      </c>
    </row>
    <row r="26" customFormat="false" ht="15" hidden="false" customHeight="true" outlineLevel="0" collapsed="false">
      <c r="A26" s="3"/>
      <c r="B26" s="15" t="s">
        <v>74</v>
      </c>
      <c r="C26" s="16" t="s">
        <v>75</v>
      </c>
      <c r="D26" s="16" t="s">
        <v>76</v>
      </c>
      <c r="E26" s="17"/>
      <c r="F26" s="17"/>
      <c r="G26" s="17"/>
      <c r="H26" s="17"/>
      <c r="I26" s="45" t="str">
        <f aca="false">IF(H26="","",H26)</f>
        <v/>
      </c>
      <c r="J26" s="17"/>
      <c r="K26" s="17"/>
      <c r="L26" s="17"/>
      <c r="M26" s="45" t="str">
        <f aca="false">IF(L26="","",L26)</f>
        <v/>
      </c>
      <c r="N26" s="17"/>
      <c r="O26" s="17"/>
      <c r="P26" s="17"/>
      <c r="Q26" s="45" t="str">
        <f aca="false">IF(P26="","",P26)</f>
        <v/>
      </c>
      <c r="R26" s="17"/>
      <c r="S26" s="17"/>
      <c r="T26" s="17"/>
      <c r="U26" s="46" t="str">
        <f aca="false">IF(OR(E26="",T26=""),"",T26-E26)</f>
        <v/>
      </c>
      <c r="V26" s="47" t="str">
        <f aca="false">IF(U26="","",IF(U26&gt;0,"▲ up",IF(U26&lt;0,"▼ down","")))</f>
        <v/>
      </c>
    </row>
    <row r="27" customFormat="false" ht="15" hidden="false" customHeight="true" outlineLevel="0" collapsed="false">
      <c r="A27" s="3"/>
      <c r="B27" s="15" t="s">
        <v>78</v>
      </c>
      <c r="C27" s="16" t="s">
        <v>79</v>
      </c>
      <c r="D27" s="16" t="s">
        <v>80</v>
      </c>
      <c r="E27" s="17"/>
      <c r="F27" s="17"/>
      <c r="G27" s="17"/>
      <c r="H27" s="17"/>
      <c r="I27" s="45" t="str">
        <f aca="false">IF(H27="","",H27)</f>
        <v/>
      </c>
      <c r="J27" s="17"/>
      <c r="K27" s="17"/>
      <c r="L27" s="17"/>
      <c r="M27" s="45" t="str">
        <f aca="false">IF(L27="","",L27)</f>
        <v/>
      </c>
      <c r="N27" s="17"/>
      <c r="O27" s="17"/>
      <c r="P27" s="17"/>
      <c r="Q27" s="45" t="str">
        <f aca="false">IF(P27="","",P27)</f>
        <v/>
      </c>
      <c r="R27" s="17"/>
      <c r="S27" s="17"/>
      <c r="T27" s="17"/>
      <c r="U27" s="46" t="str">
        <f aca="false">IF(OR(E27="",T27=""),"",T27-E27)</f>
        <v/>
      </c>
      <c r="V27" s="47" t="str">
        <f aca="false">IF(U27="","",IF(U27&gt;0,"▲ up",IF(U27&lt;0,"▼ down","")))</f>
        <v/>
      </c>
    </row>
    <row r="28" customFormat="false" ht="15" hidden="false" customHeight="true" outlineLevel="0" collapsed="false">
      <c r="A28" s="3"/>
      <c r="B28" s="15" t="s">
        <v>82</v>
      </c>
      <c r="C28" s="16" t="s">
        <v>71</v>
      </c>
      <c r="D28" s="16" t="s">
        <v>40</v>
      </c>
      <c r="E28" s="17"/>
      <c r="F28" s="17"/>
      <c r="G28" s="17"/>
      <c r="H28" s="17"/>
      <c r="I28" s="45" t="str">
        <f aca="false">IF(H28="","",H28)</f>
        <v/>
      </c>
      <c r="J28" s="17"/>
      <c r="K28" s="17"/>
      <c r="L28" s="17"/>
      <c r="M28" s="45" t="str">
        <f aca="false">IF(L28="","",L28)</f>
        <v/>
      </c>
      <c r="N28" s="17"/>
      <c r="O28" s="17"/>
      <c r="P28" s="17"/>
      <c r="Q28" s="45" t="str">
        <f aca="false">IF(P28="","",P28)</f>
        <v/>
      </c>
      <c r="R28" s="17"/>
      <c r="S28" s="17"/>
      <c r="T28" s="17"/>
      <c r="U28" s="46" t="str">
        <f aca="false">IF(OR(E28="",T28=""),"",T28-E28)</f>
        <v/>
      </c>
      <c r="V28" s="47" t="str">
        <f aca="false">IF(U28="","",IF(U28&gt;0,"▲ up",IF(U28&lt;0,"▼ down","")))</f>
        <v/>
      </c>
    </row>
    <row r="29" customFormat="false" ht="15" hidden="false" customHeight="true" outlineLevel="0" collapsed="false">
      <c r="A29" s="3"/>
      <c r="B29" s="15" t="s">
        <v>84</v>
      </c>
      <c r="C29" s="16" t="s">
        <v>85</v>
      </c>
      <c r="D29" s="16" t="s">
        <v>86</v>
      </c>
      <c r="E29" s="17"/>
      <c r="F29" s="17"/>
      <c r="G29" s="17"/>
      <c r="H29" s="17"/>
      <c r="I29" s="45" t="str">
        <f aca="false">IF(H29="","",H29)</f>
        <v/>
      </c>
      <c r="J29" s="17"/>
      <c r="K29" s="17"/>
      <c r="L29" s="17"/>
      <c r="M29" s="45" t="str">
        <f aca="false">IF(L29="","",L29)</f>
        <v/>
      </c>
      <c r="N29" s="17"/>
      <c r="O29" s="17"/>
      <c r="P29" s="17"/>
      <c r="Q29" s="45" t="str">
        <f aca="false">IF(P29="","",P29)</f>
        <v/>
      </c>
      <c r="R29" s="17"/>
      <c r="S29" s="17"/>
      <c r="T29" s="17"/>
      <c r="U29" s="46" t="str">
        <f aca="false">IF(OR(E29="",T29=""),"",T29-E29)</f>
        <v/>
      </c>
      <c r="V29" s="47" t="str">
        <f aca="false">IF(U29="","",IF(U29&gt;0,"▲ up",IF(U29&lt;0,"▼ down","")))</f>
        <v/>
      </c>
    </row>
    <row r="30" customFormat="false" ht="15" hidden="false" customHeight="true" outlineLevel="0" collapsed="false">
      <c r="A30" s="3"/>
      <c r="B30" s="15" t="s">
        <v>88</v>
      </c>
      <c r="C30" s="16" t="s">
        <v>89</v>
      </c>
      <c r="D30" s="16" t="s">
        <v>90</v>
      </c>
      <c r="E30" s="17"/>
      <c r="F30" s="17"/>
      <c r="G30" s="17"/>
      <c r="H30" s="17"/>
      <c r="I30" s="45" t="str">
        <f aca="false">IF(H30="","",H30)</f>
        <v/>
      </c>
      <c r="J30" s="17"/>
      <c r="K30" s="17"/>
      <c r="L30" s="17"/>
      <c r="M30" s="45" t="str">
        <f aca="false">IF(L30="","",L30)</f>
        <v/>
      </c>
      <c r="N30" s="17"/>
      <c r="O30" s="17"/>
      <c r="P30" s="17"/>
      <c r="Q30" s="45" t="str">
        <f aca="false">IF(P30="","",P30)</f>
        <v/>
      </c>
      <c r="R30" s="17"/>
      <c r="S30" s="17"/>
      <c r="T30" s="17"/>
      <c r="U30" s="46" t="str">
        <f aca="false">IF(OR(E30="",T30=""),"",T30-E30)</f>
        <v/>
      </c>
      <c r="V30" s="47" t="str">
        <f aca="false">IF(U30="","",IF(U30&gt;0,"▲ up",IF(U30&lt;0,"▼ down","")))</f>
        <v/>
      </c>
    </row>
    <row r="31" customFormat="false" ht="15" hidden="false" customHeight="true" outlineLevel="0" collapsed="false">
      <c r="A31" s="14" t="s">
        <v>92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customFormat="false" ht="15" hidden="false" customHeight="true" outlineLevel="0" collapsed="false">
      <c r="A32" s="3"/>
      <c r="B32" s="15" t="s">
        <v>93</v>
      </c>
      <c r="C32" s="16" t="s">
        <v>94</v>
      </c>
      <c r="D32" s="16" t="s">
        <v>95</v>
      </c>
      <c r="E32" s="17"/>
      <c r="F32" s="17"/>
      <c r="G32" s="17"/>
      <c r="H32" s="17"/>
      <c r="I32" s="45" t="str">
        <f aca="false">IF(H32="","",H32)</f>
        <v/>
      </c>
      <c r="J32" s="17"/>
      <c r="K32" s="17"/>
      <c r="L32" s="17"/>
      <c r="M32" s="45" t="str">
        <f aca="false">IF(L32="","",L32)</f>
        <v/>
      </c>
      <c r="N32" s="17"/>
      <c r="O32" s="17"/>
      <c r="P32" s="17"/>
      <c r="Q32" s="45" t="str">
        <f aca="false">IF(P32="","",P32)</f>
        <v/>
      </c>
      <c r="R32" s="17"/>
      <c r="S32" s="17"/>
      <c r="T32" s="17"/>
      <c r="U32" s="46" t="str">
        <f aca="false">IF(OR(E32="",T32=""),"",T32-E32)</f>
        <v/>
      </c>
      <c r="V32" s="47" t="str">
        <f aca="false">IF(U32="","",IF(U32&gt;0,"▲ up",IF(U32&lt;0,"▼ down","")))</f>
        <v/>
      </c>
    </row>
    <row r="33" customFormat="false" ht="15" hidden="false" customHeight="true" outlineLevel="0" collapsed="false">
      <c r="A33" s="3"/>
      <c r="B33" s="15" t="s">
        <v>97</v>
      </c>
      <c r="C33" s="16" t="s">
        <v>89</v>
      </c>
      <c r="D33" s="16" t="s">
        <v>98</v>
      </c>
      <c r="E33" s="17"/>
      <c r="F33" s="17"/>
      <c r="G33" s="17"/>
      <c r="H33" s="17"/>
      <c r="I33" s="45" t="str">
        <f aca="false">IF(H33="","",H33)</f>
        <v/>
      </c>
      <c r="J33" s="17"/>
      <c r="K33" s="17"/>
      <c r="L33" s="17"/>
      <c r="M33" s="45" t="str">
        <f aca="false">IF(L33="","",L33)</f>
        <v/>
      </c>
      <c r="N33" s="17"/>
      <c r="O33" s="17"/>
      <c r="P33" s="17"/>
      <c r="Q33" s="45" t="str">
        <f aca="false">IF(P33="","",P33)</f>
        <v/>
      </c>
      <c r="R33" s="17"/>
      <c r="S33" s="17"/>
      <c r="T33" s="17"/>
      <c r="U33" s="46" t="str">
        <f aca="false">IF(OR(E33="",T33=""),"",T33-E33)</f>
        <v/>
      </c>
      <c r="V33" s="47" t="str">
        <f aca="false">IF(U33="","",IF(U33&gt;0,"▲ up",IF(U33&lt;0,"▼ down","")))</f>
        <v/>
      </c>
    </row>
    <row r="34" customFormat="false" ht="15" hidden="false" customHeight="true" outlineLevel="0" collapsed="false">
      <c r="A34" s="3"/>
      <c r="B34" s="15" t="s">
        <v>100</v>
      </c>
      <c r="C34" s="16" t="s">
        <v>89</v>
      </c>
      <c r="D34" s="16" t="s">
        <v>101</v>
      </c>
      <c r="E34" s="17"/>
      <c r="F34" s="17"/>
      <c r="G34" s="17"/>
      <c r="H34" s="17"/>
      <c r="I34" s="45" t="str">
        <f aca="false">IF(H34="","",H34)</f>
        <v/>
      </c>
      <c r="J34" s="17"/>
      <c r="K34" s="17"/>
      <c r="L34" s="17"/>
      <c r="M34" s="45" t="str">
        <f aca="false">IF(L34="","",L34)</f>
        <v/>
      </c>
      <c r="N34" s="17"/>
      <c r="O34" s="17"/>
      <c r="P34" s="17"/>
      <c r="Q34" s="45" t="str">
        <f aca="false">IF(P34="","",P34)</f>
        <v/>
      </c>
      <c r="R34" s="17"/>
      <c r="S34" s="17"/>
      <c r="T34" s="17"/>
      <c r="U34" s="46" t="str">
        <f aca="false">IF(OR(E34="",T34=""),"",T34-E34)</f>
        <v/>
      </c>
      <c r="V34" s="47" t="str">
        <f aca="false">IF(U34="","",IF(U34&gt;0,"▲ up",IF(U34&lt;0,"▼ down","")))</f>
        <v/>
      </c>
    </row>
    <row r="35" customFormat="false" ht="15" hidden="false" customHeight="true" outlineLevel="0" collapsed="false">
      <c r="A35" s="3"/>
      <c r="B35" s="15" t="s">
        <v>103</v>
      </c>
      <c r="C35" s="16"/>
      <c r="D35" s="16" t="s">
        <v>104</v>
      </c>
      <c r="E35" s="17"/>
      <c r="F35" s="17"/>
      <c r="G35" s="17"/>
      <c r="H35" s="17"/>
      <c r="I35" s="45" t="str">
        <f aca="false">IF(H35="","",H35)</f>
        <v/>
      </c>
      <c r="J35" s="17"/>
      <c r="K35" s="17"/>
      <c r="L35" s="17"/>
      <c r="M35" s="45" t="str">
        <f aca="false">IF(L35="","",L35)</f>
        <v/>
      </c>
      <c r="N35" s="17"/>
      <c r="O35" s="17"/>
      <c r="P35" s="17"/>
      <c r="Q35" s="45" t="str">
        <f aca="false">IF(P35="","",P35)</f>
        <v/>
      </c>
      <c r="R35" s="17"/>
      <c r="S35" s="17"/>
      <c r="T35" s="17"/>
      <c r="U35" s="46" t="str">
        <f aca="false">IF(OR(E35="",T35=""),"",T35-E35)</f>
        <v/>
      </c>
      <c r="V35" s="47" t="str">
        <f aca="false">IF(U35="","",IF(U35&gt;0,"▲ up",IF(U35&lt;0,"▼ down","")))</f>
        <v/>
      </c>
    </row>
    <row r="36" customFormat="false" ht="15" hidden="false" customHeight="true" outlineLevel="0" collapsed="false">
      <c r="A36" s="3"/>
      <c r="B36" s="15" t="s">
        <v>106</v>
      </c>
      <c r="C36" s="16" t="s">
        <v>107</v>
      </c>
      <c r="D36" s="16" t="s">
        <v>108</v>
      </c>
      <c r="E36" s="17"/>
      <c r="F36" s="17"/>
      <c r="G36" s="17"/>
      <c r="H36" s="17"/>
      <c r="I36" s="45" t="str">
        <f aca="false">IF(H36="","",H36)</f>
        <v/>
      </c>
      <c r="J36" s="17"/>
      <c r="K36" s="17"/>
      <c r="L36" s="17"/>
      <c r="M36" s="45" t="str">
        <f aca="false">IF(L36="","",L36)</f>
        <v/>
      </c>
      <c r="N36" s="17"/>
      <c r="O36" s="17"/>
      <c r="P36" s="17"/>
      <c r="Q36" s="45" t="str">
        <f aca="false">IF(P36="","",P36)</f>
        <v/>
      </c>
      <c r="R36" s="17"/>
      <c r="S36" s="17"/>
      <c r="T36" s="17"/>
      <c r="U36" s="46" t="str">
        <f aca="false">IF(OR(E36="",T36=""),"",T36-E36)</f>
        <v/>
      </c>
      <c r="V36" s="47" t="str">
        <f aca="false">IF(U36="","",IF(U36&gt;0,"▲ up",IF(U36&lt;0,"▼ down","")))</f>
        <v/>
      </c>
    </row>
    <row r="37" customFormat="false" ht="15" hidden="false" customHeight="true" outlineLevel="0" collapsed="false">
      <c r="A37" s="3"/>
      <c r="B37" s="15" t="s">
        <v>110</v>
      </c>
      <c r="C37" s="16"/>
      <c r="D37" s="16" t="s">
        <v>111</v>
      </c>
      <c r="E37" s="17"/>
      <c r="F37" s="17"/>
      <c r="G37" s="17"/>
      <c r="H37" s="17"/>
      <c r="I37" s="45" t="str">
        <f aca="false">IF(H37="","",H37)</f>
        <v/>
      </c>
      <c r="J37" s="17"/>
      <c r="K37" s="17"/>
      <c r="L37" s="17"/>
      <c r="M37" s="45" t="str">
        <f aca="false">IF(L37="","",L37)</f>
        <v/>
      </c>
      <c r="N37" s="17"/>
      <c r="O37" s="17"/>
      <c r="P37" s="17"/>
      <c r="Q37" s="45" t="str">
        <f aca="false">IF(P37="","",P37)</f>
        <v/>
      </c>
      <c r="R37" s="17"/>
      <c r="S37" s="17"/>
      <c r="T37" s="17"/>
      <c r="U37" s="46" t="str">
        <f aca="false">IF(OR(E37="",T37=""),"",T37-E37)</f>
        <v/>
      </c>
      <c r="V37" s="47" t="str">
        <f aca="false">IF(U37="","",IF(U37&gt;0,"▲ up",IF(U37&lt;0,"▼ down","")))</f>
        <v/>
      </c>
    </row>
    <row r="38" customFormat="false" ht="15" hidden="false" customHeight="true" outlineLevel="0" collapsed="false">
      <c r="A38" s="3"/>
      <c r="B38" s="15" t="s">
        <v>113</v>
      </c>
      <c r="C38" s="16" t="s">
        <v>59</v>
      </c>
      <c r="D38" s="16" t="s">
        <v>114</v>
      </c>
      <c r="E38" s="17"/>
      <c r="F38" s="17"/>
      <c r="G38" s="17"/>
      <c r="H38" s="17"/>
      <c r="I38" s="45" t="str">
        <f aca="false">IF(H38="","",H38)</f>
        <v/>
      </c>
      <c r="J38" s="17"/>
      <c r="K38" s="17"/>
      <c r="L38" s="17"/>
      <c r="M38" s="45" t="str">
        <f aca="false">IF(L38="","",L38)</f>
        <v/>
      </c>
      <c r="N38" s="17"/>
      <c r="O38" s="17"/>
      <c r="P38" s="17"/>
      <c r="Q38" s="45" t="str">
        <f aca="false">IF(P38="","",P38)</f>
        <v/>
      </c>
      <c r="R38" s="17"/>
      <c r="S38" s="17"/>
      <c r="T38" s="17"/>
      <c r="U38" s="46" t="str">
        <f aca="false">IF(OR(E38="",T38=""),"",T38-E38)</f>
        <v/>
      </c>
      <c r="V38" s="47" t="str">
        <f aca="false">IF(U38="","",IF(U38&gt;0,"▲ up",IF(U38&lt;0,"▼ down","")))</f>
        <v/>
      </c>
    </row>
    <row r="39" customFormat="false" ht="15" hidden="false" customHeight="true" outlineLevel="0" collapsed="false">
      <c r="A39" s="14" t="s">
        <v>116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customFormat="false" ht="15" hidden="false" customHeight="true" outlineLevel="0" collapsed="false">
      <c r="A40" s="3"/>
      <c r="B40" s="15" t="s">
        <v>117</v>
      </c>
      <c r="C40" s="16" t="s">
        <v>107</v>
      </c>
      <c r="D40" s="16" t="s">
        <v>118</v>
      </c>
      <c r="E40" s="17"/>
      <c r="F40" s="17"/>
      <c r="G40" s="17"/>
      <c r="H40" s="17"/>
      <c r="I40" s="45" t="str">
        <f aca="false">IF(H40="","",H40)</f>
        <v/>
      </c>
      <c r="J40" s="17"/>
      <c r="K40" s="17"/>
      <c r="L40" s="17"/>
      <c r="M40" s="45" t="str">
        <f aca="false">IF(L40="","",L40)</f>
        <v/>
      </c>
      <c r="N40" s="17"/>
      <c r="O40" s="17"/>
      <c r="P40" s="17"/>
      <c r="Q40" s="45" t="str">
        <f aca="false">IF(P40="","",P40)</f>
        <v/>
      </c>
      <c r="R40" s="17"/>
      <c r="S40" s="17"/>
      <c r="T40" s="17"/>
      <c r="U40" s="46" t="str">
        <f aca="false">IF(OR(E40="",T40=""),"",T40-E40)</f>
        <v/>
      </c>
      <c r="V40" s="47" t="str">
        <f aca="false">IF(U40="","",IF(U40&gt;0,"▲ up",IF(U40&lt;0,"▼ down","")))</f>
        <v/>
      </c>
    </row>
    <row r="41" customFormat="false" ht="15" hidden="false" customHeight="true" outlineLevel="0" collapsed="false">
      <c r="A41" s="3"/>
      <c r="B41" s="15" t="s">
        <v>120</v>
      </c>
      <c r="C41" s="16" t="s">
        <v>89</v>
      </c>
      <c r="D41" s="16" t="s">
        <v>121</v>
      </c>
      <c r="E41" s="17"/>
      <c r="F41" s="17"/>
      <c r="G41" s="17"/>
      <c r="H41" s="17"/>
      <c r="I41" s="45" t="str">
        <f aca="false">IF(H41="","",H41)</f>
        <v/>
      </c>
      <c r="J41" s="17"/>
      <c r="K41" s="17"/>
      <c r="L41" s="17"/>
      <c r="M41" s="45" t="str">
        <f aca="false">IF(L41="","",L41)</f>
        <v/>
      </c>
      <c r="N41" s="17"/>
      <c r="O41" s="17"/>
      <c r="P41" s="17"/>
      <c r="Q41" s="45" t="str">
        <f aca="false">IF(P41="","",P41)</f>
        <v/>
      </c>
      <c r="R41" s="17"/>
      <c r="S41" s="17"/>
      <c r="T41" s="17"/>
      <c r="U41" s="46" t="str">
        <f aca="false">IF(OR(E41="",T41=""),"",T41-E41)</f>
        <v/>
      </c>
      <c r="V41" s="47" t="str">
        <f aca="false">IF(U41="","",IF(U41&gt;0,"▲ up",IF(U41&lt;0,"▼ down","")))</f>
        <v/>
      </c>
    </row>
    <row r="42" customFormat="false" ht="15" hidden="false" customHeight="true" outlineLevel="0" collapsed="false">
      <c r="A42" s="3"/>
      <c r="B42" s="15" t="s">
        <v>123</v>
      </c>
      <c r="C42" s="16" t="s">
        <v>107</v>
      </c>
      <c r="D42" s="16" t="s">
        <v>124</v>
      </c>
      <c r="E42" s="17"/>
      <c r="F42" s="17"/>
      <c r="G42" s="17"/>
      <c r="H42" s="17"/>
      <c r="I42" s="45" t="str">
        <f aca="false">IF(H42="","",H42)</f>
        <v/>
      </c>
      <c r="J42" s="17"/>
      <c r="K42" s="17"/>
      <c r="L42" s="17"/>
      <c r="M42" s="45" t="str">
        <f aca="false">IF(L42="","",L42)</f>
        <v/>
      </c>
      <c r="N42" s="17"/>
      <c r="O42" s="17"/>
      <c r="P42" s="17"/>
      <c r="Q42" s="45" t="str">
        <f aca="false">IF(P42="","",P42)</f>
        <v/>
      </c>
      <c r="R42" s="17"/>
      <c r="S42" s="17"/>
      <c r="T42" s="17"/>
      <c r="U42" s="46" t="str">
        <f aca="false">IF(OR(E42="",T42=""),"",T42-E42)</f>
        <v/>
      </c>
      <c r="V42" s="47" t="str">
        <f aca="false">IF(U42="","",IF(U42&gt;0,"▲ up",IF(U42&lt;0,"▼ down","")))</f>
        <v/>
      </c>
    </row>
    <row r="43" customFormat="false" ht="15" hidden="false" customHeight="true" outlineLevel="0" collapsed="false">
      <c r="A43" s="3"/>
      <c r="B43" s="15" t="s">
        <v>126</v>
      </c>
      <c r="C43" s="16" t="s">
        <v>59</v>
      </c>
      <c r="D43" s="16" t="s">
        <v>127</v>
      </c>
      <c r="E43" s="17"/>
      <c r="F43" s="17"/>
      <c r="G43" s="17"/>
      <c r="H43" s="17"/>
      <c r="I43" s="45" t="str">
        <f aca="false">IF(H43="","",H43)</f>
        <v/>
      </c>
      <c r="J43" s="17"/>
      <c r="K43" s="17"/>
      <c r="L43" s="17"/>
      <c r="M43" s="45" t="str">
        <f aca="false">IF(L43="","",L43)</f>
        <v/>
      </c>
      <c r="N43" s="17"/>
      <c r="O43" s="17"/>
      <c r="P43" s="17"/>
      <c r="Q43" s="45" t="str">
        <f aca="false">IF(P43="","",P43)</f>
        <v/>
      </c>
      <c r="R43" s="17"/>
      <c r="S43" s="17"/>
      <c r="T43" s="17"/>
      <c r="U43" s="46" t="str">
        <f aca="false">IF(OR(E43="",T43=""),"",T43-E43)</f>
        <v/>
      </c>
      <c r="V43" s="47" t="str">
        <f aca="false">IF(U43="","",IF(U43&gt;0,"▲ up",IF(U43&lt;0,"▼ down","")))</f>
        <v/>
      </c>
    </row>
    <row r="44" customFormat="false" ht="15" hidden="false" customHeight="true" outlineLevel="0" collapsed="false">
      <c r="A44" s="3"/>
      <c r="B44" s="15" t="s">
        <v>129</v>
      </c>
      <c r="C44" s="16" t="s">
        <v>59</v>
      </c>
      <c r="D44" s="16" t="s">
        <v>130</v>
      </c>
      <c r="E44" s="17"/>
      <c r="F44" s="17"/>
      <c r="G44" s="17"/>
      <c r="H44" s="17"/>
      <c r="I44" s="45" t="str">
        <f aca="false">IF(H44="","",H44)</f>
        <v/>
      </c>
      <c r="J44" s="17"/>
      <c r="K44" s="17"/>
      <c r="L44" s="17"/>
      <c r="M44" s="45" t="str">
        <f aca="false">IF(L44="","",L44)</f>
        <v/>
      </c>
      <c r="N44" s="17"/>
      <c r="O44" s="17"/>
      <c r="P44" s="17"/>
      <c r="Q44" s="45" t="str">
        <f aca="false">IF(P44="","",P44)</f>
        <v/>
      </c>
      <c r="R44" s="17"/>
      <c r="S44" s="17"/>
      <c r="T44" s="17"/>
      <c r="U44" s="46" t="str">
        <f aca="false">IF(OR(E44="",T44=""),"",T44-E44)</f>
        <v/>
      </c>
      <c r="V44" s="47" t="str">
        <f aca="false">IF(U44="","",IF(U44&gt;0,"▲ up",IF(U44&lt;0,"▼ down","")))</f>
        <v/>
      </c>
    </row>
    <row r="45" customFormat="false" ht="15" hidden="false" customHeight="true" outlineLevel="0" collapsed="false">
      <c r="A45" s="3"/>
      <c r="B45" s="15" t="s">
        <v>132</v>
      </c>
      <c r="C45" s="16" t="s">
        <v>35</v>
      </c>
      <c r="D45" s="16" t="s">
        <v>133</v>
      </c>
      <c r="E45" s="17"/>
      <c r="F45" s="17"/>
      <c r="G45" s="17"/>
      <c r="H45" s="17"/>
      <c r="I45" s="45" t="str">
        <f aca="false">IF(H45="","",H45)</f>
        <v/>
      </c>
      <c r="J45" s="17"/>
      <c r="K45" s="17"/>
      <c r="L45" s="17"/>
      <c r="M45" s="45" t="str">
        <f aca="false">IF(L45="","",L45)</f>
        <v/>
      </c>
      <c r="N45" s="17"/>
      <c r="O45" s="17"/>
      <c r="P45" s="17"/>
      <c r="Q45" s="45" t="str">
        <f aca="false">IF(P45="","",P45)</f>
        <v/>
      </c>
      <c r="R45" s="17"/>
      <c r="S45" s="17"/>
      <c r="T45" s="17"/>
      <c r="U45" s="46" t="str">
        <f aca="false">IF(OR(E45="",T45=""),"",T45-E45)</f>
        <v/>
      </c>
      <c r="V45" s="47" t="str">
        <f aca="false">IF(U45="","",IF(U45&gt;0,"▲ up",IF(U45&lt;0,"▼ down","")))</f>
        <v/>
      </c>
    </row>
    <row r="46" customFormat="false" ht="15" hidden="false" customHeight="true" outlineLevel="0" collapsed="false">
      <c r="A46" s="3"/>
      <c r="B46" s="15" t="s">
        <v>135</v>
      </c>
      <c r="C46" s="16" t="s">
        <v>31</v>
      </c>
      <c r="D46" s="16" t="s">
        <v>136</v>
      </c>
      <c r="E46" s="17"/>
      <c r="F46" s="17"/>
      <c r="G46" s="17"/>
      <c r="H46" s="17"/>
      <c r="I46" s="45" t="str">
        <f aca="false">IF(H46="","",H46)</f>
        <v/>
      </c>
      <c r="J46" s="17"/>
      <c r="K46" s="17"/>
      <c r="L46" s="17"/>
      <c r="M46" s="45" t="str">
        <f aca="false">IF(L46="","",L46)</f>
        <v/>
      </c>
      <c r="N46" s="17"/>
      <c r="O46" s="17"/>
      <c r="P46" s="17"/>
      <c r="Q46" s="45" t="str">
        <f aca="false">IF(P46="","",P46)</f>
        <v/>
      </c>
      <c r="R46" s="17"/>
      <c r="S46" s="17"/>
      <c r="T46" s="17"/>
      <c r="U46" s="46" t="str">
        <f aca="false">IF(OR(E46="",T46=""),"",T46-E46)</f>
        <v/>
      </c>
      <c r="V46" s="47" t="str">
        <f aca="false">IF(U46="","",IF(U46&gt;0,"▲ up",IF(U46&lt;0,"▼ down","")))</f>
        <v/>
      </c>
    </row>
    <row r="47" customFormat="false" ht="15" hidden="false" customHeight="true" outlineLevel="0" collapsed="false">
      <c r="A47" s="14" t="s">
        <v>138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customFormat="false" ht="15" hidden="false" customHeight="true" outlineLevel="0" collapsed="false">
      <c r="A48" s="3"/>
      <c r="B48" s="15" t="s">
        <v>139</v>
      </c>
      <c r="C48" s="16" t="s">
        <v>140</v>
      </c>
      <c r="D48" s="16" t="s">
        <v>141</v>
      </c>
      <c r="E48" s="17"/>
      <c r="F48" s="17"/>
      <c r="G48" s="17"/>
      <c r="H48" s="17"/>
      <c r="I48" s="45" t="str">
        <f aca="false">IF(H48="","",H48)</f>
        <v/>
      </c>
      <c r="J48" s="17"/>
      <c r="K48" s="17"/>
      <c r="L48" s="17"/>
      <c r="M48" s="45" t="str">
        <f aca="false">IF(L48="","",L48)</f>
        <v/>
      </c>
      <c r="N48" s="17"/>
      <c r="O48" s="17"/>
      <c r="P48" s="17"/>
      <c r="Q48" s="45" t="str">
        <f aca="false">IF(P48="","",P48)</f>
        <v/>
      </c>
      <c r="R48" s="17"/>
      <c r="S48" s="17"/>
      <c r="T48" s="17"/>
      <c r="U48" s="46" t="str">
        <f aca="false">IF(OR(E48="",T48=""),"",T48-E48)</f>
        <v/>
      </c>
      <c r="V48" s="47" t="str">
        <f aca="false">IF(U48="","",IF(U48&gt;0,"▲ up",IF(U48&lt;0,"▼ down","")))</f>
        <v/>
      </c>
    </row>
    <row r="49" customFormat="false" ht="15" hidden="false" customHeight="true" outlineLevel="0" collapsed="false">
      <c r="A49" s="3"/>
      <c r="B49" s="15" t="s">
        <v>143</v>
      </c>
      <c r="C49" s="16" t="s">
        <v>144</v>
      </c>
      <c r="D49" s="16" t="s">
        <v>145</v>
      </c>
      <c r="E49" s="17"/>
      <c r="F49" s="17"/>
      <c r="G49" s="17"/>
      <c r="H49" s="17"/>
      <c r="I49" s="45" t="str">
        <f aca="false">IF(H49="","",H49)</f>
        <v/>
      </c>
      <c r="J49" s="17"/>
      <c r="K49" s="17"/>
      <c r="L49" s="17"/>
      <c r="M49" s="45" t="str">
        <f aca="false">IF(L49="","",L49)</f>
        <v/>
      </c>
      <c r="N49" s="17"/>
      <c r="O49" s="17"/>
      <c r="P49" s="17"/>
      <c r="Q49" s="45" t="str">
        <f aca="false">IF(P49="","",P49)</f>
        <v/>
      </c>
      <c r="R49" s="17"/>
      <c r="S49" s="17"/>
      <c r="T49" s="17"/>
      <c r="U49" s="46" t="str">
        <f aca="false">IF(OR(E49="",T49=""),"",T49-E49)</f>
        <v/>
      </c>
      <c r="V49" s="47" t="str">
        <f aca="false">IF(U49="","",IF(U49&gt;0,"▲ up",IF(U49&lt;0,"▼ down","")))</f>
        <v/>
      </c>
    </row>
    <row r="50" customFormat="false" ht="15" hidden="false" customHeight="true" outlineLevel="0" collapsed="false">
      <c r="A50" s="3"/>
      <c r="B50" s="15" t="s">
        <v>147</v>
      </c>
      <c r="C50" s="16" t="s">
        <v>65</v>
      </c>
      <c r="D50" s="16" t="s">
        <v>26</v>
      </c>
      <c r="E50" s="17"/>
      <c r="F50" s="17"/>
      <c r="G50" s="17"/>
      <c r="H50" s="17"/>
      <c r="I50" s="45" t="str">
        <f aca="false">IF(H50="","",H50)</f>
        <v/>
      </c>
      <c r="J50" s="17"/>
      <c r="K50" s="17"/>
      <c r="L50" s="17"/>
      <c r="M50" s="45" t="str">
        <f aca="false">IF(L50="","",L50)</f>
        <v/>
      </c>
      <c r="N50" s="17"/>
      <c r="O50" s="17"/>
      <c r="P50" s="17"/>
      <c r="Q50" s="45" t="str">
        <f aca="false">IF(P50="","",P50)</f>
        <v/>
      </c>
      <c r="R50" s="17"/>
      <c r="S50" s="17"/>
      <c r="T50" s="17"/>
      <c r="U50" s="46" t="str">
        <f aca="false">IF(OR(E50="",T50=""),"",T50-E50)</f>
        <v/>
      </c>
      <c r="V50" s="47" t="str">
        <f aca="false">IF(U50="","",IF(U50&gt;0,"▲ up",IF(U50&lt;0,"▼ down","")))</f>
        <v/>
      </c>
    </row>
    <row r="51" customFormat="false" ht="15" hidden="false" customHeight="true" outlineLevel="0" collapsed="false">
      <c r="A51" s="3"/>
      <c r="B51" s="15" t="s">
        <v>149</v>
      </c>
      <c r="C51" s="16"/>
      <c r="D51" s="16" t="s">
        <v>150</v>
      </c>
      <c r="E51" s="17"/>
      <c r="F51" s="17"/>
      <c r="G51" s="17"/>
      <c r="H51" s="17"/>
      <c r="I51" s="45" t="str">
        <f aca="false">IF(H51="","",H51)</f>
        <v/>
      </c>
      <c r="J51" s="17"/>
      <c r="K51" s="17"/>
      <c r="L51" s="17"/>
      <c r="M51" s="45" t="str">
        <f aca="false">IF(L51="","",L51)</f>
        <v/>
      </c>
      <c r="N51" s="17"/>
      <c r="O51" s="17"/>
      <c r="P51" s="17"/>
      <c r="Q51" s="45" t="str">
        <f aca="false">IF(P51="","",P51)</f>
        <v/>
      </c>
      <c r="R51" s="17"/>
      <c r="S51" s="17"/>
      <c r="T51" s="17"/>
      <c r="U51" s="46" t="str">
        <f aca="false">IF(OR(E51="",T51=""),"",T51-E51)</f>
        <v/>
      </c>
      <c r="V51" s="47" t="str">
        <f aca="false">IF(U51="","",IF(U51&gt;0,"▲ up",IF(U51&lt;0,"▼ down","")))</f>
        <v/>
      </c>
    </row>
    <row r="52" customFormat="false" ht="15" hidden="false" customHeight="true" outlineLevel="0" collapsed="false">
      <c r="A52" s="3"/>
      <c r="B52" s="15" t="s">
        <v>152</v>
      </c>
      <c r="C52" s="16" t="s">
        <v>153</v>
      </c>
      <c r="D52" s="16" t="s">
        <v>154</v>
      </c>
      <c r="E52" s="17"/>
      <c r="F52" s="17"/>
      <c r="G52" s="17"/>
      <c r="H52" s="17"/>
      <c r="I52" s="45" t="str">
        <f aca="false">IF(H52="","",H52)</f>
        <v/>
      </c>
      <c r="J52" s="17"/>
      <c r="K52" s="17"/>
      <c r="L52" s="17"/>
      <c r="M52" s="45" t="str">
        <f aca="false">IF(L52="","",L52)</f>
        <v/>
      </c>
      <c r="N52" s="17"/>
      <c r="O52" s="17"/>
      <c r="P52" s="17"/>
      <c r="Q52" s="45" t="str">
        <f aca="false">IF(P52="","",P52)</f>
        <v/>
      </c>
      <c r="R52" s="17"/>
      <c r="S52" s="17"/>
      <c r="T52" s="17"/>
      <c r="U52" s="46" t="str">
        <f aca="false">IF(OR(E52="",T52=""),"",T52-E52)</f>
        <v/>
      </c>
      <c r="V52" s="47" t="str">
        <f aca="false">IF(U52="","",IF(U52&gt;0,"▲ up",IF(U52&lt;0,"▼ down","")))</f>
        <v/>
      </c>
    </row>
    <row r="53" customFormat="false" ht="15" hidden="false" customHeight="true" outlineLevel="0" collapsed="false">
      <c r="A53" s="3"/>
      <c r="B53" s="15" t="s">
        <v>156</v>
      </c>
      <c r="C53" s="16" t="s">
        <v>157</v>
      </c>
      <c r="D53" s="16" t="s">
        <v>158</v>
      </c>
      <c r="E53" s="17"/>
      <c r="F53" s="17"/>
      <c r="G53" s="17"/>
      <c r="H53" s="17"/>
      <c r="I53" s="45" t="str">
        <f aca="false">IF(H53="","",H53)</f>
        <v/>
      </c>
      <c r="J53" s="17"/>
      <c r="K53" s="17"/>
      <c r="L53" s="17"/>
      <c r="M53" s="45" t="str">
        <f aca="false">IF(L53="","",L53)</f>
        <v/>
      </c>
      <c r="N53" s="17"/>
      <c r="O53" s="17"/>
      <c r="P53" s="17"/>
      <c r="Q53" s="45" t="str">
        <f aca="false">IF(P53="","",P53)</f>
        <v/>
      </c>
      <c r="R53" s="17"/>
      <c r="S53" s="17"/>
      <c r="T53" s="17"/>
      <c r="U53" s="46" t="str">
        <f aca="false">IF(OR(E53="",T53=""),"",T53-E53)</f>
        <v/>
      </c>
      <c r="V53" s="47" t="str">
        <f aca="false">IF(U53="","",IF(U53&gt;0,"▲ up",IF(U53&lt;0,"▼ down","")))</f>
        <v/>
      </c>
    </row>
    <row r="54" customFormat="false" ht="15" hidden="false" customHeight="true" outlineLevel="0" collapsed="false">
      <c r="A54" s="3"/>
      <c r="B54" s="15" t="s">
        <v>160</v>
      </c>
      <c r="C54" s="16" t="s">
        <v>153</v>
      </c>
      <c r="D54" s="16" t="s">
        <v>161</v>
      </c>
      <c r="E54" s="17"/>
      <c r="F54" s="17"/>
      <c r="G54" s="17"/>
      <c r="H54" s="17"/>
      <c r="I54" s="45" t="str">
        <f aca="false">IF(H54="","",H54)</f>
        <v/>
      </c>
      <c r="J54" s="17"/>
      <c r="K54" s="17"/>
      <c r="L54" s="17"/>
      <c r="M54" s="45" t="str">
        <f aca="false">IF(L54="","",L54)</f>
        <v/>
      </c>
      <c r="N54" s="17"/>
      <c r="O54" s="17"/>
      <c r="P54" s="17"/>
      <c r="Q54" s="45" t="str">
        <f aca="false">IF(P54="","",P54)</f>
        <v/>
      </c>
      <c r="R54" s="17"/>
      <c r="S54" s="17"/>
      <c r="T54" s="17"/>
      <c r="U54" s="46" t="str">
        <f aca="false">IF(OR(E54="",T54=""),"",T54-E54)</f>
        <v/>
      </c>
      <c r="V54" s="47" t="str">
        <f aca="false">IF(U54="","",IF(U54&gt;0,"▲ up",IF(U54&lt;0,"▼ down","")))</f>
        <v/>
      </c>
    </row>
    <row r="55" customFormat="false" ht="15" hidden="false" customHeight="true" outlineLevel="0" collapsed="false">
      <c r="A55" s="14" t="s">
        <v>163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customFormat="false" ht="15" hidden="false" customHeight="true" outlineLevel="0" collapsed="false">
      <c r="A56" s="3"/>
      <c r="B56" s="15" t="s">
        <v>164</v>
      </c>
      <c r="C56" s="16" t="s">
        <v>46</v>
      </c>
      <c r="D56" s="16" t="s">
        <v>26</v>
      </c>
      <c r="E56" s="17"/>
      <c r="F56" s="17"/>
      <c r="G56" s="17"/>
      <c r="H56" s="17"/>
      <c r="I56" s="45" t="str">
        <f aca="false">IF(H56="","",H56)</f>
        <v/>
      </c>
      <c r="J56" s="17"/>
      <c r="K56" s="17"/>
      <c r="L56" s="17"/>
      <c r="M56" s="45" t="str">
        <f aca="false">IF(L56="","",L56)</f>
        <v/>
      </c>
      <c r="N56" s="17"/>
      <c r="O56" s="17"/>
      <c r="P56" s="17"/>
      <c r="Q56" s="45" t="str">
        <f aca="false">IF(P56="","",P56)</f>
        <v/>
      </c>
      <c r="R56" s="17"/>
      <c r="S56" s="17"/>
      <c r="T56" s="17"/>
      <c r="U56" s="46" t="str">
        <f aca="false">IF(OR(E56="",T56=""),"",T56-E56)</f>
        <v/>
      </c>
      <c r="V56" s="47" t="str">
        <f aca="false">IF(U56="","",IF(U56&gt;0,"▲ up",IF(U56&lt;0,"▼ down","")))</f>
        <v/>
      </c>
    </row>
    <row r="57" customFormat="false" ht="15" hidden="false" customHeight="true" outlineLevel="0" collapsed="false">
      <c r="A57" s="3"/>
      <c r="B57" s="15" t="s">
        <v>166</v>
      </c>
      <c r="C57" s="16" t="s">
        <v>46</v>
      </c>
      <c r="D57" s="16" t="s">
        <v>26</v>
      </c>
      <c r="E57" s="17"/>
      <c r="F57" s="17"/>
      <c r="G57" s="17"/>
      <c r="H57" s="17"/>
      <c r="I57" s="45" t="str">
        <f aca="false">IF(H57="","",H57)</f>
        <v/>
      </c>
      <c r="J57" s="17"/>
      <c r="K57" s="17"/>
      <c r="L57" s="17"/>
      <c r="M57" s="45" t="str">
        <f aca="false">IF(L57="","",L57)</f>
        <v/>
      </c>
      <c r="N57" s="17"/>
      <c r="O57" s="17"/>
      <c r="P57" s="17"/>
      <c r="Q57" s="45" t="str">
        <f aca="false">IF(P57="","",P57)</f>
        <v/>
      </c>
      <c r="R57" s="17"/>
      <c r="S57" s="17"/>
      <c r="T57" s="17"/>
      <c r="U57" s="46" t="str">
        <f aca="false">IF(OR(E57="",T57=""),"",T57-E57)</f>
        <v/>
      </c>
      <c r="V57" s="47" t="str">
        <f aca="false">IF(U57="","",IF(U57&gt;0,"▲ up",IF(U57&lt;0,"▼ down","")))</f>
        <v/>
      </c>
    </row>
    <row r="58" customFormat="false" ht="15" hidden="false" customHeight="true" outlineLevel="0" collapsed="false">
      <c r="A58" s="14" t="s">
        <v>168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customFormat="false" ht="15" hidden="false" customHeight="true" outlineLevel="0" collapsed="false">
      <c r="A59" s="3"/>
      <c r="B59" s="15" t="s">
        <v>169</v>
      </c>
      <c r="C59" s="16" t="s">
        <v>46</v>
      </c>
      <c r="D59" s="16" t="s">
        <v>170</v>
      </c>
      <c r="E59" s="17"/>
      <c r="F59" s="17"/>
      <c r="G59" s="17"/>
      <c r="H59" s="17"/>
      <c r="I59" s="45" t="str">
        <f aca="false">IF(H59="","",H59)</f>
        <v/>
      </c>
      <c r="J59" s="17"/>
      <c r="K59" s="17"/>
      <c r="L59" s="17"/>
      <c r="M59" s="45" t="str">
        <f aca="false">IF(L59="","",L59)</f>
        <v/>
      </c>
      <c r="N59" s="17"/>
      <c r="O59" s="17"/>
      <c r="P59" s="17"/>
      <c r="Q59" s="45" t="str">
        <f aca="false">IF(P59="","",P59)</f>
        <v/>
      </c>
      <c r="R59" s="17"/>
      <c r="S59" s="17"/>
      <c r="T59" s="17"/>
      <c r="U59" s="46" t="str">
        <f aca="false">IF(OR(E59="",T59=""),"",T59-E59)</f>
        <v/>
      </c>
      <c r="V59" s="47" t="str">
        <f aca="false">IF(U59="","",IF(U59&gt;0,"▲ up",IF(U59&lt;0,"▼ down","")))</f>
        <v/>
      </c>
    </row>
    <row r="60" customFormat="false" ht="15" hidden="false" customHeight="true" outlineLevel="0" collapsed="false">
      <c r="A60" s="3"/>
      <c r="B60" s="15" t="s">
        <v>172</v>
      </c>
      <c r="C60" s="16" t="s">
        <v>46</v>
      </c>
      <c r="D60" s="16" t="s">
        <v>173</v>
      </c>
      <c r="E60" s="17"/>
      <c r="F60" s="17"/>
      <c r="G60" s="17"/>
      <c r="H60" s="17"/>
      <c r="I60" s="45" t="str">
        <f aca="false">IF(H60="","",H60)</f>
        <v/>
      </c>
      <c r="J60" s="17"/>
      <c r="K60" s="17"/>
      <c r="L60" s="17"/>
      <c r="M60" s="45" t="str">
        <f aca="false">IF(L60="","",L60)</f>
        <v/>
      </c>
      <c r="N60" s="17"/>
      <c r="O60" s="17"/>
      <c r="P60" s="17"/>
      <c r="Q60" s="45" t="str">
        <f aca="false">IF(P60="","",P60)</f>
        <v/>
      </c>
      <c r="R60" s="17"/>
      <c r="S60" s="17"/>
      <c r="T60" s="17"/>
      <c r="U60" s="46" t="str">
        <f aca="false">IF(OR(E60="",T60=""),"",T60-E60)</f>
        <v/>
      </c>
      <c r="V60" s="47" t="str">
        <f aca="false">IF(U60="","",IF(U60&gt;0,"▲ up",IF(U60&lt;0,"▼ down","")))</f>
        <v/>
      </c>
    </row>
    <row r="61" customFormat="false" ht="15" hidden="false" customHeight="true" outlineLevel="0" collapsed="false">
      <c r="A61" s="3"/>
      <c r="B61" s="15" t="s">
        <v>175</v>
      </c>
      <c r="C61" s="16" t="s">
        <v>157</v>
      </c>
      <c r="D61" s="16" t="s">
        <v>176</v>
      </c>
      <c r="E61" s="17"/>
      <c r="F61" s="17"/>
      <c r="G61" s="17"/>
      <c r="H61" s="17"/>
      <c r="I61" s="45" t="str">
        <f aca="false">IF(H61="","",H61)</f>
        <v/>
      </c>
      <c r="J61" s="17"/>
      <c r="K61" s="17"/>
      <c r="L61" s="17"/>
      <c r="M61" s="45" t="str">
        <f aca="false">IF(L61="","",L61)</f>
        <v/>
      </c>
      <c r="N61" s="17"/>
      <c r="O61" s="17"/>
      <c r="P61" s="17"/>
      <c r="Q61" s="45" t="str">
        <f aca="false">IF(P61="","",P61)</f>
        <v/>
      </c>
      <c r="R61" s="17"/>
      <c r="S61" s="17"/>
      <c r="T61" s="17"/>
      <c r="U61" s="46" t="str">
        <f aca="false">IF(OR(E61="",T61=""),"",T61-E61)</f>
        <v/>
      </c>
      <c r="V61" s="47" t="str">
        <f aca="false">IF(U61="","",IF(U61&gt;0,"▲ up",IF(U61&lt;0,"▼ down","")))</f>
        <v/>
      </c>
    </row>
    <row r="62" customFormat="false" ht="15" hidden="false" customHeight="true" outlineLevel="0" collapsed="false">
      <c r="A62" s="14" t="s">
        <v>178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customFormat="false" ht="15" hidden="false" customHeight="true" outlineLevel="0" collapsed="false">
      <c r="A63" s="3"/>
      <c r="B63" s="15" t="s">
        <v>179</v>
      </c>
      <c r="C63" s="16"/>
      <c r="D63" s="16" t="s">
        <v>180</v>
      </c>
      <c r="E63" s="17"/>
      <c r="F63" s="17"/>
      <c r="G63" s="17"/>
      <c r="H63" s="17"/>
      <c r="I63" s="45" t="str">
        <f aca="false">IF(H63="","",H63)</f>
        <v/>
      </c>
      <c r="J63" s="17"/>
      <c r="K63" s="17"/>
      <c r="L63" s="17"/>
      <c r="M63" s="45" t="str">
        <f aca="false">IF(L63="","",L63)</f>
        <v/>
      </c>
      <c r="N63" s="17"/>
      <c r="O63" s="17"/>
      <c r="P63" s="17"/>
      <c r="Q63" s="45" t="str">
        <f aca="false">IF(P63="","",P63)</f>
        <v/>
      </c>
      <c r="R63" s="17"/>
      <c r="S63" s="17"/>
      <c r="T63" s="17"/>
      <c r="U63" s="46" t="str">
        <f aca="false">IF(OR(E63="",T63=""),"",T63-E63)</f>
        <v/>
      </c>
      <c r="V63" s="47" t="str">
        <f aca="false">IF(U63="","",IF(U63&gt;0,"▲ up",IF(U63&lt;0,"▼ down","")))</f>
        <v/>
      </c>
    </row>
    <row r="64" customFormat="false" ht="15" hidden="false" customHeight="true" outlineLevel="0" collapsed="false">
      <c r="A64" s="3"/>
      <c r="B64" s="15" t="s">
        <v>182</v>
      </c>
      <c r="C64" s="16"/>
      <c r="D64" s="16" t="s">
        <v>180</v>
      </c>
      <c r="E64" s="17"/>
      <c r="F64" s="17"/>
      <c r="G64" s="17"/>
      <c r="H64" s="17"/>
      <c r="I64" s="45" t="str">
        <f aca="false">IF(H64="","",H64)</f>
        <v/>
      </c>
      <c r="J64" s="17"/>
      <c r="K64" s="17"/>
      <c r="L64" s="17"/>
      <c r="M64" s="45" t="str">
        <f aca="false">IF(L64="","",L64)</f>
        <v/>
      </c>
      <c r="N64" s="17"/>
      <c r="O64" s="17"/>
      <c r="P64" s="17"/>
      <c r="Q64" s="45" t="str">
        <f aca="false">IF(P64="","",P64)</f>
        <v/>
      </c>
      <c r="R64" s="17"/>
      <c r="S64" s="17"/>
      <c r="T64" s="17"/>
      <c r="U64" s="46" t="str">
        <f aca="false">IF(OR(E64="",T64=""),"",T64-E64)</f>
        <v/>
      </c>
      <c r="V64" s="47" t="str">
        <f aca="false">IF(U64="","",IF(U64&gt;0,"▲ up",IF(U64&lt;0,"▼ down","")))</f>
        <v/>
      </c>
    </row>
    <row r="65" customFormat="false" ht="15" hidden="false" customHeight="true" outlineLevel="0" collapsed="false">
      <c r="A65" s="3"/>
      <c r="B65" s="15" t="s">
        <v>184</v>
      </c>
      <c r="C65" s="16" t="s">
        <v>157</v>
      </c>
      <c r="D65" s="16" t="s">
        <v>185</v>
      </c>
      <c r="E65" s="17"/>
      <c r="F65" s="17"/>
      <c r="G65" s="17"/>
      <c r="H65" s="17"/>
      <c r="I65" s="45" t="str">
        <f aca="false">IF(H65="","",H65)</f>
        <v/>
      </c>
      <c r="J65" s="17"/>
      <c r="K65" s="17"/>
      <c r="L65" s="17"/>
      <c r="M65" s="45" t="str">
        <f aca="false">IF(L65="","",L65)</f>
        <v/>
      </c>
      <c r="N65" s="17"/>
      <c r="O65" s="17"/>
      <c r="P65" s="17"/>
      <c r="Q65" s="45" t="str">
        <f aca="false">IF(P65="","",P65)</f>
        <v/>
      </c>
      <c r="R65" s="17"/>
      <c r="S65" s="17"/>
      <c r="T65" s="17"/>
      <c r="U65" s="46" t="str">
        <f aca="false">IF(OR(E65="",T65=""),"",T65-E65)</f>
        <v/>
      </c>
      <c r="V65" s="47" t="str">
        <f aca="false">IF(U65="","",IF(U65&gt;0,"▲ up",IF(U65&lt;0,"▼ down","")))</f>
        <v/>
      </c>
    </row>
    <row r="66" customFormat="false" ht="1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customFormat="false" ht="15" hidden="false" customHeight="true" outlineLevel="0" collapsed="false">
      <c r="A67" s="48" t="s">
        <v>209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customFormat="false" ht="15.75" hidden="false" customHeight="true" outlineLevel="0" collapsed="false">
      <c r="A68" s="24" t="s">
        <v>210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customFormat="false" ht="15" hidden="false" customHeight="true" outlineLevel="0" collapsed="false">
      <c r="A69" s="25" t="s">
        <v>211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customFormat="false" ht="1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customFormat="false" ht="15" hidden="false" customHeight="true" outlineLevel="0" collapsed="false">
      <c r="A71" s="26" t="s">
        <v>189</v>
      </c>
      <c r="B71" s="27" t="s">
        <v>70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customFormat="false" ht="1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customFormat="false" ht="15" hidden="false" customHeight="true" outlineLevel="0" collapsed="false">
      <c r="A73" s="28" t="s">
        <v>190</v>
      </c>
      <c r="B73" s="29" t="s">
        <v>212</v>
      </c>
      <c r="C73" s="29" t="s">
        <v>205</v>
      </c>
      <c r="D73" s="29" t="s">
        <v>206</v>
      </c>
      <c r="E73" s="29" t="s">
        <v>207</v>
      </c>
      <c r="F73" s="29" t="s">
        <v>213</v>
      </c>
      <c r="G73" s="29" t="s">
        <v>205</v>
      </c>
      <c r="H73" s="29" t="s">
        <v>206</v>
      </c>
      <c r="I73" s="29" t="s">
        <v>207</v>
      </c>
      <c r="J73" s="29" t="s">
        <v>214</v>
      </c>
      <c r="K73" s="29" t="s">
        <v>205</v>
      </c>
      <c r="L73" s="29" t="s">
        <v>206</v>
      </c>
      <c r="M73" s="29" t="s">
        <v>207</v>
      </c>
      <c r="N73" s="29" t="s">
        <v>215</v>
      </c>
      <c r="O73" s="29" t="s">
        <v>205</v>
      </c>
      <c r="P73" s="29" t="s">
        <v>206</v>
      </c>
      <c r="Q73" s="29" t="s">
        <v>207</v>
      </c>
      <c r="R73" s="3"/>
      <c r="S73" s="3"/>
      <c r="T73" s="3"/>
      <c r="U73" s="3"/>
      <c r="V73" s="3"/>
    </row>
    <row r="74" customFormat="false" ht="15" hidden="false" customHeight="true" outlineLevel="0" collapsed="false">
      <c r="A74" s="30" t="s">
        <v>195</v>
      </c>
      <c r="B74" s="31" t="n">
        <f aca="false">IFERROR(INDEX($E$10:$E$65,MATCH($B$71,$B$10:$B$65,0)),"")</f>
        <v>0</v>
      </c>
      <c r="C74" s="31" t="n">
        <f aca="false">IFERROR(INDEX($F$10:$F$65,MATCH($B$71,$B$10:$B$65,0)),"")</f>
        <v>0</v>
      </c>
      <c r="D74" s="31" t="n">
        <f aca="false">IFERROR(INDEX($G$10:$G$65,MATCH($B$71,$B$10:$B$65,0)),"")</f>
        <v>0</v>
      </c>
      <c r="E74" s="31" t="n">
        <f aca="false">IFERROR(INDEX($H$10:$H$65,MATCH($B$71,$B$10:$B$65,0)),"")</f>
        <v>0</v>
      </c>
      <c r="F74" s="31" t="str">
        <f aca="false">IFERROR(INDEX($I$10:$I$65,MATCH($B$71,$B$10:$B$65,0)),"")</f>
        <v/>
      </c>
      <c r="G74" s="31" t="n">
        <f aca="false">IFERROR(INDEX($J$10:$J$65,MATCH($B$71,$B$10:$B$65,0)),"")</f>
        <v>0</v>
      </c>
      <c r="H74" s="31" t="n">
        <f aca="false">IFERROR(INDEX($K$10:$K$65,MATCH($B$71,$B$10:$B$65,0)),"")</f>
        <v>0</v>
      </c>
      <c r="I74" s="31" t="n">
        <f aca="false">IFERROR(INDEX($L$10:$L$65,MATCH($B$71,$B$10:$B$65,0)),"")</f>
        <v>0</v>
      </c>
      <c r="J74" s="31" t="str">
        <f aca="false">IFERROR(INDEX($M$10:$M$65,MATCH($B$71,$B$10:$B$65,0)),"")</f>
        <v/>
      </c>
      <c r="K74" s="31" t="n">
        <f aca="false">IFERROR(INDEX($N$10:$N$65,MATCH($B$71,$B$10:$B$65,0)),"")</f>
        <v>0</v>
      </c>
      <c r="L74" s="31" t="n">
        <f aca="false">IFERROR(INDEX($O$10:$O$65,MATCH($B$71,$B$10:$B$65,0)),"")</f>
        <v>0</v>
      </c>
      <c r="M74" s="31" t="n">
        <f aca="false">IFERROR(INDEX($P$10:$P$65,MATCH($B$71,$B$10:$B$65,0)),"")</f>
        <v>0</v>
      </c>
      <c r="N74" s="31" t="str">
        <f aca="false">IFERROR(INDEX($Q$10:$Q$65,MATCH($B$71,$B$10:$B$65,0)),"")</f>
        <v/>
      </c>
      <c r="O74" s="31" t="n">
        <f aca="false">IFERROR(INDEX($R$10:$R$65,MATCH($B$71,$B$10:$B$65,0)),"")</f>
        <v>0</v>
      </c>
      <c r="P74" s="31" t="n">
        <f aca="false">IFERROR(INDEX($S$10:$S$65,MATCH($B$71,$B$10:$B$65,0)),"")</f>
        <v>0</v>
      </c>
      <c r="Q74" s="31" t="n">
        <f aca="false">IFERROR(INDEX($T$10:$T$65,MATCH($B$71,$B$10:$B$65,0)),"")</f>
        <v>0</v>
      </c>
      <c r="R74" s="3"/>
      <c r="S74" s="3"/>
      <c r="T74" s="3"/>
      <c r="U74" s="3"/>
      <c r="V74" s="3"/>
    </row>
  </sheetData>
  <sheetProtection sheet="true" formatCells="false" formatColumns="false" formatRows="false" sort="false" autoFilter="false"/>
  <mergeCells count="12">
    <mergeCell ref="E6:H6"/>
    <mergeCell ref="I6:L6"/>
    <mergeCell ref="M6:P6"/>
    <mergeCell ref="Q6:T6"/>
    <mergeCell ref="A9:V9"/>
    <mergeCell ref="A24:V24"/>
    <mergeCell ref="A31:V31"/>
    <mergeCell ref="A39:V39"/>
    <mergeCell ref="A47:V47"/>
    <mergeCell ref="A55:V55"/>
    <mergeCell ref="A58:V58"/>
    <mergeCell ref="A62:V62"/>
  </mergeCells>
  <dataValidations count="1">
    <dataValidation allowBlank="true" errorStyle="stop" operator="between" showDropDown="false" showErrorMessage="false" showInputMessage="false" sqref="B71" type="list">
      <formula1>'Round Progression'!$B$10:$B$65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0"/>
    <col collapsed="false" customWidth="true" hidden="false" outlineLevel="0" max="3" min="3" style="1" width="8"/>
    <col collapsed="false" customWidth="true" hidden="false" outlineLevel="0" max="8" min="4" style="1" width="14"/>
    <col collapsed="false" customWidth="true" hidden="false" outlineLevel="0" max="9" min="9" style="1" width="35"/>
  </cols>
  <sheetData>
    <row r="1" customFormat="false" ht="34.5" hidden="false" customHeight="true" outlineLevel="0" collapsed="false">
      <c r="A1" s="49" t="s">
        <v>216</v>
      </c>
      <c r="B1" s="49"/>
      <c r="C1" s="49"/>
      <c r="D1" s="49"/>
      <c r="E1" s="49"/>
      <c r="F1" s="49"/>
      <c r="G1" s="49"/>
      <c r="H1" s="49"/>
      <c r="I1" s="49"/>
    </row>
    <row r="2" customFormat="false" ht="15" hidden="false" customHeight="true" outlineLevel="0" collapsed="false">
      <c r="A2" s="50" t="s">
        <v>217</v>
      </c>
      <c r="B2" s="50"/>
      <c r="C2" s="50"/>
      <c r="D2" s="50"/>
      <c r="E2" s="50"/>
      <c r="F2" s="50"/>
      <c r="G2" s="50"/>
      <c r="H2" s="50"/>
      <c r="I2" s="50"/>
    </row>
    <row r="3" customFormat="false" ht="19.5" hidden="false" customHeight="true" outlineLevel="0" collapsed="false">
      <c r="A3" s="51" t="str">
        <f aca="false">IF('Lab Tracker'!B4&lt;&gt;"","📅 Day 0: "&amp;TEXT('Lab Tracker'!B4,"DD MMM")&amp;"   ·   Day 30: "&amp;TEXT('Lab Tracker'!B4+29,"DD MMM")&amp;"   ·   Day 60: "&amp;TEXT('Lab Tracker'!B4+59,"DD MMM")&amp;"   ·   Day 90: "&amp;TEXT('Lab Tracker'!B4+89,"DD MMM"),"📅 Set your start date on the Streak tab")</f>
        <v>📅 Day 0: 08 Sep   ·   Day 30: 07 Oct   ·   Day 60: 06 Nov   ·   Day 90: 06 Dec</v>
      </c>
      <c r="B3" s="51"/>
      <c r="C3" s="51"/>
      <c r="D3" s="51"/>
      <c r="E3" s="51"/>
      <c r="F3" s="51"/>
      <c r="G3" s="51"/>
      <c r="H3" s="51"/>
      <c r="I3" s="51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</row>
    <row r="5" customFormat="false" ht="27.75" hidden="false" customHeight="true" outlineLevel="0" collapsed="false">
      <c r="A5" s="52"/>
      <c r="B5" s="52" t="s">
        <v>218</v>
      </c>
      <c r="C5" s="52" t="s">
        <v>7</v>
      </c>
      <c r="D5" s="52" t="s">
        <v>9</v>
      </c>
      <c r="E5" s="52" t="s">
        <v>10</v>
      </c>
      <c r="F5" s="52" t="s">
        <v>11</v>
      </c>
      <c r="G5" s="52" t="s">
        <v>12</v>
      </c>
      <c r="H5" s="52" t="s">
        <v>219</v>
      </c>
      <c r="I5" s="52" t="s">
        <v>220</v>
      </c>
    </row>
    <row r="6" customFormat="false" ht="24" hidden="false" customHeight="true" outlineLevel="0" collapsed="false">
      <c r="A6" s="53" t="s">
        <v>221</v>
      </c>
      <c r="B6" s="53"/>
      <c r="C6" s="53"/>
      <c r="D6" s="53"/>
      <c r="E6" s="53"/>
      <c r="F6" s="53"/>
      <c r="G6" s="53"/>
      <c r="H6" s="53"/>
      <c r="I6" s="53"/>
    </row>
    <row r="7" customFormat="false" ht="27.75" hidden="false" customHeight="true" outlineLevel="0" collapsed="false">
      <c r="A7" s="54"/>
      <c r="B7" s="55" t="s">
        <v>222</v>
      </c>
      <c r="C7" s="56" t="s">
        <v>223</v>
      </c>
      <c r="D7" s="57"/>
      <c r="E7" s="57"/>
      <c r="F7" s="57"/>
      <c r="G7" s="57"/>
      <c r="H7" s="58" t="str">
        <f aca="false">IF(AND(D7&lt;&gt;"",G7&lt;&gt;""),G7-D7,"")</f>
        <v/>
      </c>
      <c r="I7" s="59" t="s">
        <v>224</v>
      </c>
    </row>
    <row r="8" customFormat="false" ht="27.75" hidden="false" customHeight="true" outlineLevel="0" collapsed="false">
      <c r="A8" s="54"/>
      <c r="B8" s="55" t="s">
        <v>225</v>
      </c>
      <c r="C8" s="56" t="s">
        <v>31</v>
      </c>
      <c r="D8" s="57"/>
      <c r="E8" s="57"/>
      <c r="F8" s="57"/>
      <c r="G8" s="57"/>
      <c r="H8" s="58" t="str">
        <f aca="false">IF(AND(D8&lt;&gt;"",G8&lt;&gt;""),G8-D8,"")</f>
        <v/>
      </c>
      <c r="I8" s="59" t="s">
        <v>226</v>
      </c>
    </row>
    <row r="9" customFormat="false" ht="27.75" hidden="false" customHeight="true" outlineLevel="0" collapsed="false">
      <c r="A9" s="54"/>
      <c r="B9" s="55" t="s">
        <v>227</v>
      </c>
      <c r="C9" s="56" t="s">
        <v>228</v>
      </c>
      <c r="D9" s="57"/>
      <c r="E9" s="57"/>
      <c r="F9" s="57"/>
      <c r="G9" s="57"/>
      <c r="H9" s="58" t="str">
        <f aca="false">IF(AND(D9&lt;&gt;"",G9&lt;&gt;""),G9-D9,"")</f>
        <v/>
      </c>
      <c r="I9" s="59" t="s">
        <v>229</v>
      </c>
    </row>
    <row r="10" customFormat="false" ht="27.75" hidden="false" customHeight="true" outlineLevel="0" collapsed="false">
      <c r="A10" s="54"/>
      <c r="B10" s="55" t="s">
        <v>230</v>
      </c>
      <c r="C10" s="56" t="s">
        <v>228</v>
      </c>
      <c r="D10" s="57"/>
      <c r="E10" s="57"/>
      <c r="F10" s="57"/>
      <c r="G10" s="57"/>
      <c r="H10" s="58" t="str">
        <f aca="false">IF(AND(D10&lt;&gt;"",G10&lt;&gt;""),G10-D10,"")</f>
        <v/>
      </c>
      <c r="I10" s="59" t="s">
        <v>231</v>
      </c>
    </row>
    <row r="11" customFormat="false" ht="27.75" hidden="false" customHeight="true" outlineLevel="0" collapsed="false">
      <c r="A11" s="54"/>
      <c r="B11" s="55" t="s">
        <v>232</v>
      </c>
      <c r="C11" s="56" t="s">
        <v>228</v>
      </c>
      <c r="D11" s="57"/>
      <c r="E11" s="57"/>
      <c r="F11" s="57"/>
      <c r="G11" s="57"/>
      <c r="H11" s="58" t="str">
        <f aca="false">IF(AND(D11&lt;&gt;"",G11&lt;&gt;""),G11-D11,"")</f>
        <v/>
      </c>
      <c r="I11" s="59" t="s">
        <v>233</v>
      </c>
    </row>
    <row r="12" customFormat="false" ht="27.75" hidden="false" customHeight="true" outlineLevel="0" collapsed="false">
      <c r="A12" s="54"/>
      <c r="B12" s="55" t="s">
        <v>234</v>
      </c>
      <c r="C12" s="56" t="s">
        <v>235</v>
      </c>
      <c r="D12" s="57"/>
      <c r="E12" s="57"/>
      <c r="F12" s="57"/>
      <c r="G12" s="57"/>
      <c r="H12" s="58" t="str">
        <f aca="false">IF(AND(D12&lt;&gt;"",G12&lt;&gt;""),G12-D12,"")</f>
        <v/>
      </c>
      <c r="I12" s="59" t="s">
        <v>236</v>
      </c>
    </row>
    <row r="13" customFormat="false" ht="27.75" hidden="false" customHeight="true" outlineLevel="0" collapsed="false">
      <c r="A13" s="54"/>
      <c r="B13" s="55" t="s">
        <v>237</v>
      </c>
      <c r="C13" s="56" t="s">
        <v>238</v>
      </c>
      <c r="D13" s="57"/>
      <c r="E13" s="57"/>
      <c r="F13" s="57"/>
      <c r="G13" s="57"/>
      <c r="H13" s="58" t="str">
        <f aca="false">IF(AND(D13&lt;&gt;"",G13&lt;&gt;""),G13-D13,"")</f>
        <v/>
      </c>
      <c r="I13" s="59" t="s">
        <v>239</v>
      </c>
    </row>
    <row r="14" customFormat="false" ht="24" hidden="false" customHeight="true" outlineLevel="0" collapsed="false">
      <c r="A14" s="53" t="s">
        <v>240</v>
      </c>
      <c r="B14" s="53"/>
      <c r="C14" s="53"/>
      <c r="D14" s="53"/>
      <c r="E14" s="53"/>
      <c r="F14" s="53"/>
      <c r="G14" s="53"/>
      <c r="H14" s="53"/>
      <c r="I14" s="53"/>
    </row>
    <row r="15" customFormat="false" ht="27.75" hidden="false" customHeight="true" outlineLevel="0" collapsed="false">
      <c r="A15" s="54"/>
      <c r="B15" s="55" t="s">
        <v>241</v>
      </c>
      <c r="C15" s="56" t="s">
        <v>228</v>
      </c>
      <c r="D15" s="57"/>
      <c r="E15" s="57"/>
      <c r="F15" s="57"/>
      <c r="G15" s="57"/>
      <c r="H15" s="58" t="str">
        <f aca="false">IF(AND(D15&lt;&gt;"",G15&lt;&gt;""),G15-D15,"")</f>
        <v/>
      </c>
      <c r="I15" s="59" t="s">
        <v>242</v>
      </c>
    </row>
    <row r="16" customFormat="false" ht="27.75" hidden="false" customHeight="true" outlineLevel="0" collapsed="false">
      <c r="A16" s="54"/>
      <c r="B16" s="55" t="s">
        <v>243</v>
      </c>
      <c r="C16" s="56" t="s">
        <v>228</v>
      </c>
      <c r="D16" s="57"/>
      <c r="E16" s="57"/>
      <c r="F16" s="57"/>
      <c r="G16" s="57"/>
      <c r="H16" s="58" t="str">
        <f aca="false">IF(AND(D16&lt;&gt;"",G16&lt;&gt;""),G16-D16,"")</f>
        <v/>
      </c>
      <c r="I16" s="59" t="s">
        <v>244</v>
      </c>
    </row>
    <row r="17" customFormat="false" ht="24" hidden="false" customHeight="true" outlineLevel="0" collapsed="false">
      <c r="A17" s="53" t="s">
        <v>245</v>
      </c>
      <c r="B17" s="53"/>
      <c r="C17" s="53"/>
      <c r="D17" s="53"/>
      <c r="E17" s="53"/>
      <c r="F17" s="53"/>
      <c r="G17" s="53"/>
      <c r="H17" s="53"/>
      <c r="I17" s="53"/>
    </row>
    <row r="18" customFormat="false" ht="27.75" hidden="false" customHeight="true" outlineLevel="0" collapsed="false">
      <c r="A18" s="54"/>
      <c r="B18" s="55" t="s">
        <v>246</v>
      </c>
      <c r="C18" s="56" t="s">
        <v>228</v>
      </c>
      <c r="D18" s="57"/>
      <c r="E18" s="57"/>
      <c r="F18" s="57"/>
      <c r="G18" s="57"/>
      <c r="H18" s="58" t="str">
        <f aca="false">IF(AND(D18&lt;&gt;"",G18&lt;&gt;""),G18-D18,"")</f>
        <v/>
      </c>
      <c r="I18" s="59" t="s">
        <v>247</v>
      </c>
    </row>
    <row r="19" customFormat="false" ht="27.75" hidden="false" customHeight="true" outlineLevel="0" collapsed="false">
      <c r="A19" s="54"/>
      <c r="B19" s="55" t="s">
        <v>248</v>
      </c>
      <c r="C19" s="56" t="s">
        <v>228</v>
      </c>
      <c r="D19" s="57"/>
      <c r="E19" s="57"/>
      <c r="F19" s="57"/>
      <c r="G19" s="57"/>
      <c r="H19" s="58" t="str">
        <f aca="false">IF(AND(D19&lt;&gt;"",G19&lt;&gt;""),G19-D19,"")</f>
        <v/>
      </c>
      <c r="I19" s="59" t="s">
        <v>247</v>
      </c>
    </row>
    <row r="20" customFormat="false" ht="24" hidden="false" customHeight="true" outlineLevel="0" collapsed="false">
      <c r="A20" s="53" t="s">
        <v>249</v>
      </c>
      <c r="B20" s="53"/>
      <c r="C20" s="53"/>
      <c r="D20" s="53"/>
      <c r="E20" s="53"/>
      <c r="F20" s="53"/>
      <c r="G20" s="53"/>
      <c r="H20" s="53"/>
      <c r="I20" s="53"/>
    </row>
    <row r="21" customFormat="false" ht="27.75" hidden="false" customHeight="true" outlineLevel="0" collapsed="false">
      <c r="A21" s="54"/>
      <c r="B21" s="55" t="s">
        <v>250</v>
      </c>
      <c r="C21" s="56" t="s">
        <v>228</v>
      </c>
      <c r="D21" s="57"/>
      <c r="E21" s="57"/>
      <c r="F21" s="57"/>
      <c r="G21" s="57"/>
      <c r="H21" s="58" t="str">
        <f aca="false">IF(AND(D21&lt;&gt;"",G21&lt;&gt;""),G21-D21,"")</f>
        <v/>
      </c>
      <c r="I21" s="59" t="s">
        <v>251</v>
      </c>
    </row>
    <row r="22" customFormat="false" ht="27.75" hidden="false" customHeight="true" outlineLevel="0" collapsed="false">
      <c r="A22" s="54"/>
      <c r="B22" s="55" t="s">
        <v>252</v>
      </c>
      <c r="C22" s="56" t="s">
        <v>228</v>
      </c>
      <c r="D22" s="57"/>
      <c r="E22" s="57"/>
      <c r="F22" s="57"/>
      <c r="G22" s="57"/>
      <c r="H22" s="58" t="str">
        <f aca="false">IF(AND(D22&lt;&gt;"",G22&lt;&gt;""),G22-D22,"")</f>
        <v/>
      </c>
      <c r="I22" s="59" t="s">
        <v>251</v>
      </c>
    </row>
    <row r="23" customFormat="false" ht="27.75" hidden="false" customHeight="true" outlineLevel="0" collapsed="false">
      <c r="A23" s="54"/>
      <c r="B23" s="55" t="s">
        <v>253</v>
      </c>
      <c r="C23" s="56"/>
      <c r="D23" s="57"/>
      <c r="E23" s="57"/>
      <c r="F23" s="57"/>
      <c r="G23" s="57"/>
      <c r="H23" s="58" t="str">
        <f aca="false">IF(AND(D23&lt;&gt;"",G23&lt;&gt;""),G23-D23,"")</f>
        <v/>
      </c>
      <c r="I23" s="59" t="s">
        <v>254</v>
      </c>
    </row>
  </sheetData>
  <sheetProtection sheet="true" formatCells="false" formatColumns="false" formatRows="false" sort="false" autoFilter="false"/>
  <mergeCells count="7">
    <mergeCell ref="A1:I1"/>
    <mergeCell ref="A2:I2"/>
    <mergeCell ref="A3:I3"/>
    <mergeCell ref="A6:I6"/>
    <mergeCell ref="A14:I14"/>
    <mergeCell ref="A17:I17"/>
    <mergeCell ref="A20:I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8"/>
    <col collapsed="false" customWidth="true" hidden="false" outlineLevel="0" max="6" min="3" style="1" width="12"/>
    <col collapsed="false" customWidth="true" hidden="false" outlineLevel="0" max="7" min="7" style="1" width="14"/>
    <col collapsed="false" customWidth="true" hidden="false" outlineLevel="0" max="8" min="8" style="1" width="35"/>
  </cols>
  <sheetData>
    <row r="1" customFormat="false" ht="34.5" hidden="false" customHeight="true" outlineLevel="0" collapsed="false">
      <c r="A1" s="49" t="s">
        <v>255</v>
      </c>
      <c r="B1" s="49"/>
      <c r="C1" s="49"/>
      <c r="D1" s="49"/>
      <c r="E1" s="49"/>
      <c r="F1" s="49"/>
      <c r="G1" s="49"/>
      <c r="H1" s="49"/>
    </row>
    <row r="2" customFormat="false" ht="19.5" hidden="false" customHeight="true" outlineLevel="0" collapsed="false">
      <c r="A2" s="51" t="str">
        <f aca="false">IF('Lab Tracker'!B4&lt;&gt;"","📅 Day 0: "&amp;TEXT('Lab Tracker'!B4,"DD MMM")&amp;"   ·   Day 30: "&amp;TEXT('Lab Tracker'!B4+29,"DD MMM")&amp;"   ·   Day 60: "&amp;TEXT('Lab Tracker'!B4+59,"DD MMM")&amp;"   ·   Day 90: "&amp;TEXT('Lab Tracker'!B4+89,"DD MMM"),"📅 Set your start date on the Streak tab")</f>
        <v>📅 Day 0: 08 Sep   ·   Day 30: 07 Oct   ·   Day 60: 06 Nov   ·   Day 90: 06 Dec</v>
      </c>
      <c r="B2" s="51"/>
      <c r="C2" s="51"/>
      <c r="D2" s="51"/>
      <c r="E2" s="51"/>
      <c r="F2" s="51"/>
      <c r="G2" s="51"/>
      <c r="H2" s="51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60"/>
      <c r="B4" s="60" t="s">
        <v>256</v>
      </c>
      <c r="C4" s="60" t="s">
        <v>9</v>
      </c>
      <c r="D4" s="60" t="s">
        <v>10</v>
      </c>
      <c r="E4" s="60" t="s">
        <v>11</v>
      </c>
      <c r="F4" s="60" t="s">
        <v>12</v>
      </c>
      <c r="G4" s="60" t="s">
        <v>257</v>
      </c>
      <c r="H4" s="60" t="s">
        <v>220</v>
      </c>
    </row>
    <row r="5" customFormat="false" ht="25.5" hidden="false" customHeight="true" outlineLevel="0" collapsed="false">
      <c r="A5" s="3"/>
      <c r="B5" s="55" t="s">
        <v>258</v>
      </c>
      <c r="C5" s="57"/>
      <c r="D5" s="57"/>
      <c r="E5" s="57"/>
      <c r="F5" s="57"/>
      <c r="G5" s="61" t="str">
        <f aca="false">IF(AND(C5&lt;&gt;"",F5&lt;&gt;""),F5-C5,"")</f>
        <v/>
      </c>
      <c r="H5" s="62" t="s">
        <v>259</v>
      </c>
    </row>
    <row r="6" customFormat="false" ht="25.5" hidden="false" customHeight="true" outlineLevel="0" collapsed="false">
      <c r="A6" s="3"/>
      <c r="B6" s="55" t="s">
        <v>260</v>
      </c>
      <c r="C6" s="57"/>
      <c r="D6" s="57"/>
      <c r="E6" s="57"/>
      <c r="F6" s="57"/>
      <c r="G6" s="61" t="str">
        <f aca="false">IF(AND(C6&lt;&gt;"",F6&lt;&gt;""),F6-C6,"")</f>
        <v/>
      </c>
      <c r="H6" s="62" t="s">
        <v>259</v>
      </c>
    </row>
    <row r="7" customFormat="false" ht="25.5" hidden="false" customHeight="true" outlineLevel="0" collapsed="false">
      <c r="A7" s="3"/>
      <c r="B7" s="55" t="s">
        <v>261</v>
      </c>
      <c r="C7" s="57"/>
      <c r="D7" s="57"/>
      <c r="E7" s="57"/>
      <c r="F7" s="57"/>
      <c r="G7" s="61" t="str">
        <f aca="false">IF(AND(C7&lt;&gt;"",F7&lt;&gt;""),F7-C7,"")</f>
        <v/>
      </c>
      <c r="H7" s="62" t="s">
        <v>259</v>
      </c>
    </row>
    <row r="8" customFormat="false" ht="25.5" hidden="false" customHeight="true" outlineLevel="0" collapsed="false">
      <c r="A8" s="3"/>
      <c r="B8" s="55" t="s">
        <v>262</v>
      </c>
      <c r="C8" s="57"/>
      <c r="D8" s="57"/>
      <c r="E8" s="57"/>
      <c r="F8" s="57"/>
      <c r="G8" s="61" t="str">
        <f aca="false">IF(AND(C8&lt;&gt;"",F8&lt;&gt;""),F8-C8,"")</f>
        <v/>
      </c>
      <c r="H8" s="62" t="s">
        <v>259</v>
      </c>
    </row>
    <row r="9" customFormat="false" ht="25.5" hidden="false" customHeight="true" outlineLevel="0" collapsed="false">
      <c r="A9" s="3"/>
      <c r="B9" s="55" t="s">
        <v>263</v>
      </c>
      <c r="C9" s="57"/>
      <c r="D9" s="57"/>
      <c r="E9" s="57"/>
      <c r="F9" s="57"/>
      <c r="G9" s="61" t="str">
        <f aca="false">IF(AND(C9&lt;&gt;"",F9&lt;&gt;""),F9-C9,"")</f>
        <v/>
      </c>
      <c r="H9" s="62" t="s">
        <v>259</v>
      </c>
    </row>
    <row r="10" customFormat="false" ht="25.5" hidden="false" customHeight="true" outlineLevel="0" collapsed="false">
      <c r="A10" s="3"/>
      <c r="B10" s="55" t="s">
        <v>264</v>
      </c>
      <c r="C10" s="57"/>
      <c r="D10" s="57"/>
      <c r="E10" s="57"/>
      <c r="F10" s="57"/>
      <c r="G10" s="61" t="str">
        <f aca="false">IF(AND(C10&lt;&gt;"",F10&lt;&gt;""),F10-C10,"")</f>
        <v/>
      </c>
      <c r="H10" s="62" t="s">
        <v>259</v>
      </c>
    </row>
    <row r="11" customFormat="false" ht="25.5" hidden="false" customHeight="true" outlineLevel="0" collapsed="false">
      <c r="A11" s="3"/>
      <c r="B11" s="55" t="s">
        <v>265</v>
      </c>
      <c r="C11" s="57"/>
      <c r="D11" s="57"/>
      <c r="E11" s="57"/>
      <c r="F11" s="57"/>
      <c r="G11" s="61" t="str">
        <f aca="false">IF(AND(C11&lt;&gt;"",F11&lt;&gt;""),F11-C11,"")</f>
        <v/>
      </c>
      <c r="H11" s="62" t="s">
        <v>259</v>
      </c>
    </row>
    <row r="12" customFormat="false" ht="25.5" hidden="false" customHeight="true" outlineLevel="0" collapsed="false">
      <c r="A12" s="3"/>
      <c r="B12" s="55" t="s">
        <v>266</v>
      </c>
      <c r="C12" s="57"/>
      <c r="D12" s="57"/>
      <c r="E12" s="57"/>
      <c r="F12" s="57"/>
      <c r="G12" s="61" t="str">
        <f aca="false">IF(AND(C12&lt;&gt;"",F12&lt;&gt;""),F12-C12,"")</f>
        <v/>
      </c>
      <c r="H12" s="62" t="s">
        <v>259</v>
      </c>
    </row>
    <row r="13" customFormat="false" ht="25.5" hidden="false" customHeight="true" outlineLevel="0" collapsed="false">
      <c r="A13" s="3"/>
      <c r="B13" s="63"/>
      <c r="C13" s="64"/>
      <c r="D13" s="64"/>
      <c r="E13" s="64"/>
      <c r="F13" s="64"/>
      <c r="G13" s="64"/>
      <c r="H13" s="62"/>
    </row>
    <row r="14" customFormat="false" ht="25.5" hidden="false" customHeight="true" outlineLevel="0" collapsed="false">
      <c r="A14" s="3"/>
      <c r="B14" s="65" t="s">
        <v>267</v>
      </c>
      <c r="C14" s="66" t="n">
        <f aca="false">SUM(C5:C12)</f>
        <v>0</v>
      </c>
      <c r="D14" s="66" t="n">
        <f aca="false">SUM(D5:D12)</f>
        <v>0</v>
      </c>
      <c r="E14" s="66" t="n">
        <f aca="false">SUM(E5:E12)</f>
        <v>0</v>
      </c>
      <c r="F14" s="66" t="n">
        <f aca="false">SUM(F5:F12)</f>
        <v>0</v>
      </c>
      <c r="G14" s="64"/>
      <c r="H14" s="62" t="s">
        <v>268</v>
      </c>
    </row>
    <row r="15" customFormat="false" ht="25.5" hidden="false" customHeight="true" outlineLevel="0" collapsed="false">
      <c r="A15" s="3"/>
      <c r="B15" s="67" t="s">
        <v>269</v>
      </c>
      <c r="C15" s="68" t="n">
        <f aca="false">IF(C14&lt;&gt;"",C14/40*100,"")</f>
        <v>0</v>
      </c>
      <c r="D15" s="68" t="n">
        <f aca="false">IF(D14&lt;&gt;"",D14/40*100,"")</f>
        <v>0</v>
      </c>
      <c r="E15" s="68" t="n">
        <f aca="false">IF(E14&lt;&gt;"",E14/40*100,"")</f>
        <v>0</v>
      </c>
      <c r="F15" s="68" t="n">
        <f aca="false">IF(F14&lt;&gt;"",F14/40*100,"")</f>
        <v>0</v>
      </c>
      <c r="G15" s="64"/>
      <c r="H15" s="62" t="s">
        <v>270</v>
      </c>
    </row>
  </sheetData>
  <sheetProtection sheet="true" formatCells="false" formatColumns="false" formatRows="false" sort="false" autoFilter="false"/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4"/>
    <col collapsed="false" customWidth="true" hidden="false" outlineLevel="0" max="3" min="3" style="1" width="8"/>
    <col collapsed="false" customWidth="true" hidden="false" outlineLevel="0" max="4" min="4" style="1" width="14"/>
    <col collapsed="false" customWidth="true" hidden="false" outlineLevel="0" max="5" min="5" style="1" width="10"/>
    <col collapsed="false" customWidth="true" hidden="false" outlineLevel="0" max="6" min="6" style="1" width="35"/>
    <col collapsed="false" customWidth="true" hidden="false" outlineLevel="0" max="7" min="7" style="1" width="14"/>
  </cols>
  <sheetData>
    <row r="1" customFormat="false" ht="34.5" hidden="false" customHeight="true" outlineLevel="0" collapsed="false">
      <c r="A1" s="49" t="s">
        <v>271</v>
      </c>
      <c r="B1" s="49"/>
      <c r="C1" s="49"/>
      <c r="D1" s="49"/>
      <c r="E1" s="49"/>
      <c r="F1" s="49"/>
      <c r="G1" s="49"/>
    </row>
    <row r="2" customFormat="false" ht="15" hidden="false" customHeight="true" outlineLevel="0" collapsed="false">
      <c r="A2" s="69" t="s">
        <v>272</v>
      </c>
      <c r="B2" s="70" t="n">
        <f aca="false">'Lab Tracker'!B4</f>
        <v>46273</v>
      </c>
      <c r="C2" s="71" t="str">
        <f aca="false">IF(B2&lt;&gt;"","Day 30: "&amp;TEXT(B2+29,"DD MMM")&amp;"  ·  Day 60: "&amp;TEXT(B2+59,"DD MMM")&amp;"  ·  Day 90: "&amp;TEXT(B2+89,"DD MMM"),"")</f>
        <v>Day 30: 07 Oct  ·  Day 60: 06 Nov  ·  Day 90: 06 Dec</v>
      </c>
      <c r="D2" s="71"/>
      <c r="E2" s="71"/>
      <c r="F2" s="71"/>
      <c r="G2" s="71"/>
    </row>
    <row r="3" customFormat="false" ht="19.5" hidden="false" customHeight="true" outlineLevel="0" collapsed="false">
      <c r="A3" s="72" t="s">
        <v>273</v>
      </c>
      <c r="B3" s="72"/>
      <c r="C3" s="72"/>
      <c r="D3" s="72"/>
      <c r="E3" s="72"/>
      <c r="F3" s="72"/>
      <c r="G3" s="72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73" t="s">
        <v>274</v>
      </c>
      <c r="B5" s="73" t="s">
        <v>275</v>
      </c>
      <c r="C5" s="73" t="s">
        <v>276</v>
      </c>
      <c r="D5" s="73" t="s">
        <v>277</v>
      </c>
      <c r="E5" s="73" t="s">
        <v>278</v>
      </c>
      <c r="F5" s="73" t="s">
        <v>220</v>
      </c>
      <c r="G5" s="73" t="s">
        <v>279</v>
      </c>
    </row>
    <row r="6" customFormat="false" ht="15" hidden="false" customHeight="true" outlineLevel="0" collapsed="false">
      <c r="A6" s="74" t="n">
        <v>1</v>
      </c>
      <c r="B6" s="75" t="n">
        <f aca="false">IF($B$2&lt;&gt;"", $B$2+0, "")</f>
        <v>46273</v>
      </c>
      <c r="C6" s="76"/>
      <c r="D6" s="77" t="s">
        <v>280</v>
      </c>
      <c r="E6" s="76"/>
      <c r="F6" s="78"/>
      <c r="G6" s="79" t="n">
        <f aca="false">COUNTA(C6:C6)</f>
        <v>0</v>
      </c>
    </row>
    <row r="7" customFormat="false" ht="15" hidden="false" customHeight="true" outlineLevel="0" collapsed="false">
      <c r="A7" s="74" t="n">
        <v>2</v>
      </c>
      <c r="B7" s="75" t="n">
        <f aca="false">IF($B$2&lt;&gt;"", $B$2+1, "")</f>
        <v>46274</v>
      </c>
      <c r="C7" s="76"/>
      <c r="D7" s="77" t="s">
        <v>280</v>
      </c>
      <c r="E7" s="76"/>
      <c r="F7" s="78"/>
      <c r="G7" s="79" t="n">
        <f aca="false">COUNTA(C6:C7)</f>
        <v>0</v>
      </c>
    </row>
    <row r="8" customFormat="false" ht="15" hidden="false" customHeight="true" outlineLevel="0" collapsed="false">
      <c r="A8" s="74" t="n">
        <v>3</v>
      </c>
      <c r="B8" s="75" t="n">
        <f aca="false">IF($B$2&lt;&gt;"", $B$2+2, "")</f>
        <v>46275</v>
      </c>
      <c r="C8" s="76"/>
      <c r="D8" s="77" t="s">
        <v>280</v>
      </c>
      <c r="E8" s="76"/>
      <c r="F8" s="78"/>
      <c r="G8" s="79" t="n">
        <f aca="false">COUNTA(C6:C8)</f>
        <v>0</v>
      </c>
    </row>
    <row r="9" customFormat="false" ht="15" hidden="false" customHeight="true" outlineLevel="0" collapsed="false">
      <c r="A9" s="74" t="n">
        <v>4</v>
      </c>
      <c r="B9" s="75" t="n">
        <f aca="false">IF($B$2&lt;&gt;"", $B$2+3, "")</f>
        <v>46276</v>
      </c>
      <c r="C9" s="76"/>
      <c r="D9" s="77" t="s">
        <v>280</v>
      </c>
      <c r="E9" s="76"/>
      <c r="F9" s="78"/>
      <c r="G9" s="79" t="n">
        <f aca="false">COUNTA(C6:C9)</f>
        <v>0</v>
      </c>
    </row>
    <row r="10" customFormat="false" ht="15" hidden="false" customHeight="true" outlineLevel="0" collapsed="false">
      <c r="A10" s="74" t="n">
        <v>5</v>
      </c>
      <c r="B10" s="75" t="n">
        <f aca="false">IF($B$2&lt;&gt;"", $B$2+4, "")</f>
        <v>46277</v>
      </c>
      <c r="C10" s="76"/>
      <c r="D10" s="77" t="s">
        <v>280</v>
      </c>
      <c r="E10" s="76"/>
      <c r="F10" s="78"/>
      <c r="G10" s="79" t="n">
        <f aca="false">COUNTA(C6:C10)</f>
        <v>0</v>
      </c>
    </row>
    <row r="11" customFormat="false" ht="15" hidden="false" customHeight="true" outlineLevel="0" collapsed="false">
      <c r="A11" s="74" t="n">
        <v>6</v>
      </c>
      <c r="B11" s="75" t="n">
        <f aca="false">IF($B$2&lt;&gt;"", $B$2+5, "")</f>
        <v>46278</v>
      </c>
      <c r="C11" s="76"/>
      <c r="D11" s="77" t="s">
        <v>280</v>
      </c>
      <c r="E11" s="76"/>
      <c r="F11" s="78"/>
      <c r="G11" s="79" t="n">
        <f aca="false">COUNTA(C6:C11)</f>
        <v>0</v>
      </c>
    </row>
    <row r="12" customFormat="false" ht="15" hidden="false" customHeight="true" outlineLevel="0" collapsed="false">
      <c r="A12" s="74" t="n">
        <v>7</v>
      </c>
      <c r="B12" s="75" t="n">
        <f aca="false">IF($B$2&lt;&gt;"", $B$2+6, "")</f>
        <v>46279</v>
      </c>
      <c r="C12" s="76"/>
      <c r="D12" s="77" t="s">
        <v>280</v>
      </c>
      <c r="E12" s="76"/>
      <c r="F12" s="78"/>
      <c r="G12" s="79" t="n">
        <f aca="false">COUNTA(C6:C12)</f>
        <v>0</v>
      </c>
    </row>
    <row r="13" customFormat="false" ht="15" hidden="false" customHeight="true" outlineLevel="0" collapsed="false">
      <c r="A13" s="74" t="n">
        <v>8</v>
      </c>
      <c r="B13" s="75" t="n">
        <f aca="false">IF($B$2&lt;&gt;"", $B$2+7, "")</f>
        <v>46280</v>
      </c>
      <c r="C13" s="76"/>
      <c r="D13" s="77" t="s">
        <v>280</v>
      </c>
      <c r="E13" s="76"/>
      <c r="F13" s="78"/>
      <c r="G13" s="79" t="n">
        <f aca="false">COUNTA(C6:C13)</f>
        <v>0</v>
      </c>
    </row>
    <row r="14" customFormat="false" ht="15" hidden="false" customHeight="true" outlineLevel="0" collapsed="false">
      <c r="A14" s="74" t="n">
        <v>9</v>
      </c>
      <c r="B14" s="75" t="n">
        <f aca="false">IF($B$2&lt;&gt;"", $B$2+8, "")</f>
        <v>46281</v>
      </c>
      <c r="C14" s="76"/>
      <c r="D14" s="77" t="s">
        <v>280</v>
      </c>
      <c r="E14" s="76"/>
      <c r="F14" s="78"/>
      <c r="G14" s="79" t="n">
        <f aca="false">COUNTA(C6:C14)</f>
        <v>0</v>
      </c>
    </row>
    <row r="15" customFormat="false" ht="15" hidden="false" customHeight="true" outlineLevel="0" collapsed="false">
      <c r="A15" s="74" t="n">
        <v>10</v>
      </c>
      <c r="B15" s="75" t="n">
        <f aca="false">IF($B$2&lt;&gt;"", $B$2+9, "")</f>
        <v>46282</v>
      </c>
      <c r="C15" s="76"/>
      <c r="D15" s="77" t="s">
        <v>280</v>
      </c>
      <c r="E15" s="76"/>
      <c r="F15" s="78"/>
      <c r="G15" s="79" t="n">
        <f aca="false">COUNTA(C6:C15)</f>
        <v>0</v>
      </c>
    </row>
    <row r="16" customFormat="false" ht="15" hidden="false" customHeight="true" outlineLevel="0" collapsed="false">
      <c r="A16" s="74" t="n">
        <v>11</v>
      </c>
      <c r="B16" s="75" t="n">
        <f aca="false">IF($B$2&lt;&gt;"", $B$2+10, "")</f>
        <v>46283</v>
      </c>
      <c r="C16" s="76"/>
      <c r="D16" s="77" t="s">
        <v>280</v>
      </c>
      <c r="E16" s="76"/>
      <c r="F16" s="78"/>
      <c r="G16" s="79" t="n">
        <f aca="false">COUNTA(C6:C16)</f>
        <v>0</v>
      </c>
    </row>
    <row r="17" customFormat="false" ht="15" hidden="false" customHeight="true" outlineLevel="0" collapsed="false">
      <c r="A17" s="74" t="n">
        <v>12</v>
      </c>
      <c r="B17" s="75" t="n">
        <f aca="false">IF($B$2&lt;&gt;"", $B$2+11, "")</f>
        <v>46284</v>
      </c>
      <c r="C17" s="76"/>
      <c r="D17" s="77" t="s">
        <v>280</v>
      </c>
      <c r="E17" s="76"/>
      <c r="F17" s="78"/>
      <c r="G17" s="79" t="n">
        <f aca="false">COUNTA(C6:C17)</f>
        <v>0</v>
      </c>
    </row>
    <row r="18" customFormat="false" ht="15" hidden="false" customHeight="true" outlineLevel="0" collapsed="false">
      <c r="A18" s="74" t="n">
        <v>13</v>
      </c>
      <c r="B18" s="75" t="n">
        <f aca="false">IF($B$2&lt;&gt;"", $B$2+12, "")</f>
        <v>46285</v>
      </c>
      <c r="C18" s="76"/>
      <c r="D18" s="77" t="s">
        <v>280</v>
      </c>
      <c r="E18" s="76"/>
      <c r="F18" s="78"/>
      <c r="G18" s="79" t="n">
        <f aca="false">COUNTA(C6:C18)</f>
        <v>0</v>
      </c>
    </row>
    <row r="19" customFormat="false" ht="15" hidden="false" customHeight="true" outlineLevel="0" collapsed="false">
      <c r="A19" s="74" t="n">
        <v>14</v>
      </c>
      <c r="B19" s="75" t="n">
        <f aca="false">IF($B$2&lt;&gt;"", $B$2+13, "")</f>
        <v>46286</v>
      </c>
      <c r="C19" s="76"/>
      <c r="D19" s="77" t="s">
        <v>280</v>
      </c>
      <c r="E19" s="76"/>
      <c r="F19" s="78"/>
      <c r="G19" s="79" t="n">
        <f aca="false">COUNTA(C6:C19)</f>
        <v>0</v>
      </c>
    </row>
    <row r="20" customFormat="false" ht="15" hidden="false" customHeight="true" outlineLevel="0" collapsed="false">
      <c r="A20" s="74" t="n">
        <v>15</v>
      </c>
      <c r="B20" s="75" t="n">
        <f aca="false">IF($B$2&lt;&gt;"", $B$2+14, "")</f>
        <v>46287</v>
      </c>
      <c r="C20" s="76"/>
      <c r="D20" s="77" t="s">
        <v>280</v>
      </c>
      <c r="E20" s="76"/>
      <c r="F20" s="78"/>
      <c r="G20" s="79" t="n">
        <f aca="false">COUNTA(C6:C20)</f>
        <v>0</v>
      </c>
    </row>
    <row r="21" customFormat="false" ht="15" hidden="false" customHeight="true" outlineLevel="0" collapsed="false">
      <c r="A21" s="74" t="n">
        <v>16</v>
      </c>
      <c r="B21" s="75" t="n">
        <f aca="false">IF($B$2&lt;&gt;"", $B$2+15, "")</f>
        <v>46288</v>
      </c>
      <c r="C21" s="76"/>
      <c r="D21" s="77" t="s">
        <v>280</v>
      </c>
      <c r="E21" s="76"/>
      <c r="F21" s="78"/>
      <c r="G21" s="79" t="n">
        <f aca="false">COUNTA(C6:C21)</f>
        <v>0</v>
      </c>
    </row>
    <row r="22" customFormat="false" ht="15" hidden="false" customHeight="true" outlineLevel="0" collapsed="false">
      <c r="A22" s="74" t="n">
        <v>17</v>
      </c>
      <c r="B22" s="75" t="n">
        <f aca="false">IF($B$2&lt;&gt;"", $B$2+16, "")</f>
        <v>46289</v>
      </c>
      <c r="C22" s="76"/>
      <c r="D22" s="77" t="s">
        <v>280</v>
      </c>
      <c r="E22" s="76"/>
      <c r="F22" s="78"/>
      <c r="G22" s="79" t="n">
        <f aca="false">COUNTA(C6:C22)</f>
        <v>0</v>
      </c>
    </row>
    <row r="23" customFormat="false" ht="15" hidden="false" customHeight="true" outlineLevel="0" collapsed="false">
      <c r="A23" s="74" t="n">
        <v>18</v>
      </c>
      <c r="B23" s="75" t="n">
        <f aca="false">IF($B$2&lt;&gt;"", $B$2+17, "")</f>
        <v>46290</v>
      </c>
      <c r="C23" s="76"/>
      <c r="D23" s="77" t="s">
        <v>280</v>
      </c>
      <c r="E23" s="76"/>
      <c r="F23" s="78"/>
      <c r="G23" s="79" t="n">
        <f aca="false">COUNTA(C6:C23)</f>
        <v>0</v>
      </c>
    </row>
    <row r="24" customFormat="false" ht="15" hidden="false" customHeight="true" outlineLevel="0" collapsed="false">
      <c r="A24" s="74" t="n">
        <v>19</v>
      </c>
      <c r="B24" s="75" t="n">
        <f aca="false">IF($B$2&lt;&gt;"", $B$2+18, "")</f>
        <v>46291</v>
      </c>
      <c r="C24" s="76"/>
      <c r="D24" s="77" t="s">
        <v>280</v>
      </c>
      <c r="E24" s="76"/>
      <c r="F24" s="78"/>
      <c r="G24" s="79" t="n">
        <f aca="false">COUNTA(C6:C24)</f>
        <v>0</v>
      </c>
    </row>
    <row r="25" customFormat="false" ht="15" hidden="false" customHeight="true" outlineLevel="0" collapsed="false">
      <c r="A25" s="74" t="n">
        <v>20</v>
      </c>
      <c r="B25" s="75" t="n">
        <f aca="false">IF($B$2&lt;&gt;"", $B$2+19, "")</f>
        <v>46292</v>
      </c>
      <c r="C25" s="76"/>
      <c r="D25" s="77" t="s">
        <v>280</v>
      </c>
      <c r="E25" s="76"/>
      <c r="F25" s="78"/>
      <c r="G25" s="79" t="n">
        <f aca="false">COUNTA(C6:C25)</f>
        <v>0</v>
      </c>
    </row>
    <row r="26" customFormat="false" ht="15" hidden="false" customHeight="true" outlineLevel="0" collapsed="false">
      <c r="A26" s="74" t="n">
        <v>21</v>
      </c>
      <c r="B26" s="75" t="n">
        <f aca="false">IF($B$2&lt;&gt;"", $B$2+20, "")</f>
        <v>46293</v>
      </c>
      <c r="C26" s="76"/>
      <c r="D26" s="77" t="s">
        <v>280</v>
      </c>
      <c r="E26" s="76"/>
      <c r="F26" s="78"/>
      <c r="G26" s="79" t="n">
        <f aca="false">COUNTA(C6:C26)</f>
        <v>0</v>
      </c>
    </row>
    <row r="27" customFormat="false" ht="15" hidden="false" customHeight="true" outlineLevel="0" collapsed="false">
      <c r="A27" s="74" t="n">
        <v>22</v>
      </c>
      <c r="B27" s="75" t="n">
        <f aca="false">IF($B$2&lt;&gt;"", $B$2+21, "")</f>
        <v>46294</v>
      </c>
      <c r="C27" s="76"/>
      <c r="D27" s="77" t="s">
        <v>280</v>
      </c>
      <c r="E27" s="76"/>
      <c r="F27" s="78"/>
      <c r="G27" s="79" t="n">
        <f aca="false">COUNTA(C6:C27)</f>
        <v>0</v>
      </c>
    </row>
    <row r="28" customFormat="false" ht="15" hidden="false" customHeight="true" outlineLevel="0" collapsed="false">
      <c r="A28" s="74" t="n">
        <v>23</v>
      </c>
      <c r="B28" s="75" t="n">
        <f aca="false">IF($B$2&lt;&gt;"", $B$2+22, "")</f>
        <v>46295</v>
      </c>
      <c r="C28" s="76"/>
      <c r="D28" s="77" t="s">
        <v>280</v>
      </c>
      <c r="E28" s="76"/>
      <c r="F28" s="78"/>
      <c r="G28" s="79" t="n">
        <f aca="false">COUNTA(C6:C28)</f>
        <v>0</v>
      </c>
    </row>
    <row r="29" customFormat="false" ht="15" hidden="false" customHeight="true" outlineLevel="0" collapsed="false">
      <c r="A29" s="74" t="n">
        <v>24</v>
      </c>
      <c r="B29" s="75" t="n">
        <f aca="false">IF($B$2&lt;&gt;"", $B$2+23, "")</f>
        <v>46296</v>
      </c>
      <c r="C29" s="76"/>
      <c r="D29" s="77" t="s">
        <v>280</v>
      </c>
      <c r="E29" s="76"/>
      <c r="F29" s="78"/>
      <c r="G29" s="79" t="n">
        <f aca="false">COUNTA(C6:C29)</f>
        <v>0</v>
      </c>
    </row>
    <row r="30" customFormat="false" ht="15" hidden="false" customHeight="true" outlineLevel="0" collapsed="false">
      <c r="A30" s="74" t="n">
        <v>25</v>
      </c>
      <c r="B30" s="75" t="n">
        <f aca="false">IF($B$2&lt;&gt;"", $B$2+24, "")</f>
        <v>46297</v>
      </c>
      <c r="C30" s="76"/>
      <c r="D30" s="77" t="s">
        <v>280</v>
      </c>
      <c r="E30" s="76"/>
      <c r="F30" s="78"/>
      <c r="G30" s="79" t="n">
        <f aca="false">COUNTA(C6:C30)</f>
        <v>0</v>
      </c>
    </row>
    <row r="31" customFormat="false" ht="15" hidden="false" customHeight="true" outlineLevel="0" collapsed="false">
      <c r="A31" s="74" t="n">
        <v>26</v>
      </c>
      <c r="B31" s="75" t="n">
        <f aca="false">IF($B$2&lt;&gt;"", $B$2+25, "")</f>
        <v>46298</v>
      </c>
      <c r="C31" s="76"/>
      <c r="D31" s="77" t="s">
        <v>280</v>
      </c>
      <c r="E31" s="76"/>
      <c r="F31" s="78"/>
      <c r="G31" s="79" t="n">
        <f aca="false">COUNTA(C6:C31)</f>
        <v>0</v>
      </c>
    </row>
    <row r="32" customFormat="false" ht="15" hidden="false" customHeight="true" outlineLevel="0" collapsed="false">
      <c r="A32" s="74" t="n">
        <v>27</v>
      </c>
      <c r="B32" s="75" t="n">
        <f aca="false">IF($B$2&lt;&gt;"", $B$2+26, "")</f>
        <v>46299</v>
      </c>
      <c r="C32" s="76"/>
      <c r="D32" s="77" t="s">
        <v>280</v>
      </c>
      <c r="E32" s="76"/>
      <c r="F32" s="78"/>
      <c r="G32" s="79" t="n">
        <f aca="false">COUNTA(C6:C32)</f>
        <v>0</v>
      </c>
    </row>
    <row r="33" customFormat="false" ht="15" hidden="false" customHeight="true" outlineLevel="0" collapsed="false">
      <c r="A33" s="74" t="n">
        <v>28</v>
      </c>
      <c r="B33" s="75" t="n">
        <f aca="false">IF($B$2&lt;&gt;"", $B$2+27, "")</f>
        <v>46300</v>
      </c>
      <c r="C33" s="76"/>
      <c r="D33" s="77" t="s">
        <v>280</v>
      </c>
      <c r="E33" s="76"/>
      <c r="F33" s="78"/>
      <c r="G33" s="79" t="n">
        <f aca="false">COUNTA(C6:C33)</f>
        <v>0</v>
      </c>
    </row>
    <row r="34" customFormat="false" ht="15" hidden="false" customHeight="true" outlineLevel="0" collapsed="false">
      <c r="A34" s="74" t="n">
        <v>29</v>
      </c>
      <c r="B34" s="75" t="n">
        <f aca="false">IF($B$2&lt;&gt;"", $B$2+28, "")</f>
        <v>46301</v>
      </c>
      <c r="C34" s="76"/>
      <c r="D34" s="77" t="s">
        <v>280</v>
      </c>
      <c r="E34" s="76"/>
      <c r="F34" s="78"/>
      <c r="G34" s="79" t="n">
        <f aca="false">COUNTA(C6:C34)</f>
        <v>0</v>
      </c>
    </row>
    <row r="35" customFormat="false" ht="15" hidden="false" customHeight="true" outlineLevel="0" collapsed="false">
      <c r="A35" s="80" t="n">
        <v>30</v>
      </c>
      <c r="B35" s="81" t="n">
        <f aca="false">IF($B$2&lt;&gt;"", $B$2+29, "")</f>
        <v>46302</v>
      </c>
      <c r="C35" s="82"/>
      <c r="D35" s="83" t="s">
        <v>281</v>
      </c>
      <c r="E35" s="82"/>
      <c r="F35" s="84"/>
      <c r="G35" s="85" t="n">
        <f aca="false">COUNTA(C6:C35)</f>
        <v>0</v>
      </c>
    </row>
    <row r="36" customFormat="false" ht="15" hidden="false" customHeight="true" outlineLevel="0" collapsed="false">
      <c r="A36" s="74" t="n">
        <v>31</v>
      </c>
      <c r="B36" s="75" t="n">
        <f aca="false">IF($B$2&lt;&gt;"", $B$2+30, "")</f>
        <v>46303</v>
      </c>
      <c r="C36" s="76"/>
      <c r="D36" s="86" t="s">
        <v>282</v>
      </c>
      <c r="E36" s="76"/>
      <c r="F36" s="78"/>
      <c r="G36" s="79" t="n">
        <f aca="false">COUNTA(C6:C36)</f>
        <v>0</v>
      </c>
    </row>
    <row r="37" customFormat="false" ht="15" hidden="false" customHeight="true" outlineLevel="0" collapsed="false">
      <c r="A37" s="74" t="n">
        <v>32</v>
      </c>
      <c r="B37" s="75" t="n">
        <f aca="false">IF($B$2&lt;&gt;"", $B$2+31, "")</f>
        <v>46304</v>
      </c>
      <c r="C37" s="76"/>
      <c r="D37" s="86" t="s">
        <v>282</v>
      </c>
      <c r="E37" s="76"/>
      <c r="F37" s="78"/>
      <c r="G37" s="79" t="n">
        <f aca="false">COUNTA(C6:C37)</f>
        <v>0</v>
      </c>
    </row>
    <row r="38" customFormat="false" ht="15" hidden="false" customHeight="true" outlineLevel="0" collapsed="false">
      <c r="A38" s="74" t="n">
        <v>33</v>
      </c>
      <c r="B38" s="75" t="n">
        <f aca="false">IF($B$2&lt;&gt;"", $B$2+32, "")</f>
        <v>46305</v>
      </c>
      <c r="C38" s="76"/>
      <c r="D38" s="86" t="s">
        <v>282</v>
      </c>
      <c r="E38" s="76"/>
      <c r="F38" s="78"/>
      <c r="G38" s="79" t="n">
        <f aca="false">COUNTA(C6:C38)</f>
        <v>0</v>
      </c>
    </row>
    <row r="39" customFormat="false" ht="15" hidden="false" customHeight="true" outlineLevel="0" collapsed="false">
      <c r="A39" s="74" t="n">
        <v>34</v>
      </c>
      <c r="B39" s="75" t="n">
        <f aca="false">IF($B$2&lt;&gt;"", $B$2+33, "")</f>
        <v>46306</v>
      </c>
      <c r="C39" s="76"/>
      <c r="D39" s="86" t="s">
        <v>282</v>
      </c>
      <c r="E39" s="76"/>
      <c r="F39" s="78"/>
      <c r="G39" s="79" t="n">
        <f aca="false">COUNTA(C6:C39)</f>
        <v>0</v>
      </c>
    </row>
    <row r="40" customFormat="false" ht="15" hidden="false" customHeight="true" outlineLevel="0" collapsed="false">
      <c r="A40" s="74" t="n">
        <v>35</v>
      </c>
      <c r="B40" s="75" t="n">
        <f aca="false">IF($B$2&lt;&gt;"", $B$2+34, "")</f>
        <v>46307</v>
      </c>
      <c r="C40" s="76"/>
      <c r="D40" s="86" t="s">
        <v>282</v>
      </c>
      <c r="E40" s="76"/>
      <c r="F40" s="78"/>
      <c r="G40" s="79" t="n">
        <f aca="false">COUNTA(C6:C40)</f>
        <v>0</v>
      </c>
    </row>
    <row r="41" customFormat="false" ht="15" hidden="false" customHeight="true" outlineLevel="0" collapsed="false">
      <c r="A41" s="74" t="n">
        <v>36</v>
      </c>
      <c r="B41" s="75" t="n">
        <f aca="false">IF($B$2&lt;&gt;"", $B$2+35, "")</f>
        <v>46308</v>
      </c>
      <c r="C41" s="76"/>
      <c r="D41" s="86" t="s">
        <v>282</v>
      </c>
      <c r="E41" s="76"/>
      <c r="F41" s="78"/>
      <c r="G41" s="79" t="n">
        <f aca="false">COUNTA(C6:C41)</f>
        <v>0</v>
      </c>
    </row>
    <row r="42" customFormat="false" ht="15" hidden="false" customHeight="true" outlineLevel="0" collapsed="false">
      <c r="A42" s="74" t="n">
        <v>37</v>
      </c>
      <c r="B42" s="75" t="n">
        <f aca="false">IF($B$2&lt;&gt;"", $B$2+36, "")</f>
        <v>46309</v>
      </c>
      <c r="C42" s="76"/>
      <c r="D42" s="86" t="s">
        <v>282</v>
      </c>
      <c r="E42" s="76"/>
      <c r="F42" s="78"/>
      <c r="G42" s="79" t="n">
        <f aca="false">COUNTA(C6:C42)</f>
        <v>0</v>
      </c>
    </row>
    <row r="43" customFormat="false" ht="15" hidden="false" customHeight="true" outlineLevel="0" collapsed="false">
      <c r="A43" s="74" t="n">
        <v>38</v>
      </c>
      <c r="B43" s="75" t="n">
        <f aca="false">IF($B$2&lt;&gt;"", $B$2+37, "")</f>
        <v>46310</v>
      </c>
      <c r="C43" s="76"/>
      <c r="D43" s="86" t="s">
        <v>282</v>
      </c>
      <c r="E43" s="76"/>
      <c r="F43" s="78"/>
      <c r="G43" s="79" t="n">
        <f aca="false">COUNTA(C6:C43)</f>
        <v>0</v>
      </c>
    </row>
    <row r="44" customFormat="false" ht="15" hidden="false" customHeight="true" outlineLevel="0" collapsed="false">
      <c r="A44" s="74" t="n">
        <v>39</v>
      </c>
      <c r="B44" s="75" t="n">
        <f aca="false">IF($B$2&lt;&gt;"", $B$2+38, "")</f>
        <v>46311</v>
      </c>
      <c r="C44" s="76"/>
      <c r="D44" s="86" t="s">
        <v>282</v>
      </c>
      <c r="E44" s="76"/>
      <c r="F44" s="78"/>
      <c r="G44" s="79" t="n">
        <f aca="false">COUNTA(C6:C44)</f>
        <v>0</v>
      </c>
    </row>
    <row r="45" customFormat="false" ht="15" hidden="false" customHeight="true" outlineLevel="0" collapsed="false">
      <c r="A45" s="74" t="n">
        <v>40</v>
      </c>
      <c r="B45" s="75" t="n">
        <f aca="false">IF($B$2&lt;&gt;"", $B$2+39, "")</f>
        <v>46312</v>
      </c>
      <c r="C45" s="76"/>
      <c r="D45" s="86" t="s">
        <v>282</v>
      </c>
      <c r="E45" s="76"/>
      <c r="F45" s="78"/>
      <c r="G45" s="79" t="n">
        <f aca="false">COUNTA(C6:C45)</f>
        <v>0</v>
      </c>
    </row>
    <row r="46" customFormat="false" ht="15" hidden="false" customHeight="true" outlineLevel="0" collapsed="false">
      <c r="A46" s="74" t="n">
        <v>41</v>
      </c>
      <c r="B46" s="75" t="n">
        <f aca="false">IF($B$2&lt;&gt;"", $B$2+40, "")</f>
        <v>46313</v>
      </c>
      <c r="C46" s="76"/>
      <c r="D46" s="86" t="s">
        <v>282</v>
      </c>
      <c r="E46" s="76"/>
      <c r="F46" s="78"/>
      <c r="G46" s="79" t="n">
        <f aca="false">COUNTA(C6:C46)</f>
        <v>0</v>
      </c>
    </row>
    <row r="47" customFormat="false" ht="15" hidden="false" customHeight="true" outlineLevel="0" collapsed="false">
      <c r="A47" s="74" t="n">
        <v>42</v>
      </c>
      <c r="B47" s="75" t="n">
        <f aca="false">IF($B$2&lt;&gt;"", $B$2+41, "")</f>
        <v>46314</v>
      </c>
      <c r="C47" s="76"/>
      <c r="D47" s="86" t="s">
        <v>282</v>
      </c>
      <c r="E47" s="76"/>
      <c r="F47" s="78"/>
      <c r="G47" s="79" t="n">
        <f aca="false">COUNTA(C6:C47)</f>
        <v>0</v>
      </c>
    </row>
    <row r="48" customFormat="false" ht="15" hidden="false" customHeight="true" outlineLevel="0" collapsed="false">
      <c r="A48" s="74" t="n">
        <v>43</v>
      </c>
      <c r="B48" s="75" t="n">
        <f aca="false">IF($B$2&lt;&gt;"", $B$2+42, "")</f>
        <v>46315</v>
      </c>
      <c r="C48" s="76"/>
      <c r="D48" s="86" t="s">
        <v>282</v>
      </c>
      <c r="E48" s="76"/>
      <c r="F48" s="78"/>
      <c r="G48" s="79" t="n">
        <f aca="false">COUNTA(C6:C48)</f>
        <v>0</v>
      </c>
    </row>
    <row r="49" customFormat="false" ht="15" hidden="false" customHeight="true" outlineLevel="0" collapsed="false">
      <c r="A49" s="74" t="n">
        <v>44</v>
      </c>
      <c r="B49" s="75" t="n">
        <f aca="false">IF($B$2&lt;&gt;"", $B$2+43, "")</f>
        <v>46316</v>
      </c>
      <c r="C49" s="76"/>
      <c r="D49" s="86" t="s">
        <v>282</v>
      </c>
      <c r="E49" s="76"/>
      <c r="F49" s="78"/>
      <c r="G49" s="79" t="n">
        <f aca="false">COUNTA(C6:C49)</f>
        <v>0</v>
      </c>
    </row>
    <row r="50" customFormat="false" ht="15" hidden="false" customHeight="true" outlineLevel="0" collapsed="false">
      <c r="A50" s="74" t="n">
        <v>45</v>
      </c>
      <c r="B50" s="75" t="n">
        <f aca="false">IF($B$2&lt;&gt;"", $B$2+44, "")</f>
        <v>46317</v>
      </c>
      <c r="C50" s="76"/>
      <c r="D50" s="86" t="s">
        <v>282</v>
      </c>
      <c r="E50" s="76"/>
      <c r="F50" s="78"/>
      <c r="G50" s="79" t="n">
        <f aca="false">COUNTA(C6:C50)</f>
        <v>0</v>
      </c>
    </row>
    <row r="51" customFormat="false" ht="15" hidden="false" customHeight="true" outlineLevel="0" collapsed="false">
      <c r="A51" s="74" t="n">
        <v>46</v>
      </c>
      <c r="B51" s="75" t="n">
        <f aca="false">IF($B$2&lt;&gt;"", $B$2+45, "")</f>
        <v>46318</v>
      </c>
      <c r="C51" s="76"/>
      <c r="D51" s="86" t="s">
        <v>282</v>
      </c>
      <c r="E51" s="76"/>
      <c r="F51" s="78"/>
      <c r="G51" s="79" t="n">
        <f aca="false">COUNTA(C6:C51)</f>
        <v>0</v>
      </c>
    </row>
    <row r="52" customFormat="false" ht="15" hidden="false" customHeight="true" outlineLevel="0" collapsed="false">
      <c r="A52" s="74" t="n">
        <v>47</v>
      </c>
      <c r="B52" s="75" t="n">
        <f aca="false">IF($B$2&lt;&gt;"", $B$2+46, "")</f>
        <v>46319</v>
      </c>
      <c r="C52" s="76"/>
      <c r="D52" s="86" t="s">
        <v>282</v>
      </c>
      <c r="E52" s="76"/>
      <c r="F52" s="78"/>
      <c r="G52" s="79" t="n">
        <f aca="false">COUNTA(C6:C52)</f>
        <v>0</v>
      </c>
    </row>
    <row r="53" customFormat="false" ht="15" hidden="false" customHeight="true" outlineLevel="0" collapsed="false">
      <c r="A53" s="74" t="n">
        <v>48</v>
      </c>
      <c r="B53" s="75" t="n">
        <f aca="false">IF($B$2&lt;&gt;"", $B$2+47, "")</f>
        <v>46320</v>
      </c>
      <c r="C53" s="76"/>
      <c r="D53" s="86" t="s">
        <v>282</v>
      </c>
      <c r="E53" s="76"/>
      <c r="F53" s="78"/>
      <c r="G53" s="79" t="n">
        <f aca="false">COUNTA(C6:C53)</f>
        <v>0</v>
      </c>
    </row>
    <row r="54" customFormat="false" ht="15" hidden="false" customHeight="true" outlineLevel="0" collapsed="false">
      <c r="A54" s="74" t="n">
        <v>49</v>
      </c>
      <c r="B54" s="75" t="n">
        <f aca="false">IF($B$2&lt;&gt;"", $B$2+48, "")</f>
        <v>46321</v>
      </c>
      <c r="C54" s="76"/>
      <c r="D54" s="86" t="s">
        <v>282</v>
      </c>
      <c r="E54" s="76"/>
      <c r="F54" s="78"/>
      <c r="G54" s="79" t="n">
        <f aca="false">COUNTA(C6:C54)</f>
        <v>0</v>
      </c>
    </row>
    <row r="55" customFormat="false" ht="15" hidden="false" customHeight="true" outlineLevel="0" collapsed="false">
      <c r="A55" s="74" t="n">
        <v>50</v>
      </c>
      <c r="B55" s="75" t="n">
        <f aca="false">IF($B$2&lt;&gt;"", $B$2+49, "")</f>
        <v>46322</v>
      </c>
      <c r="C55" s="76"/>
      <c r="D55" s="86" t="s">
        <v>282</v>
      </c>
      <c r="E55" s="76"/>
      <c r="F55" s="78"/>
      <c r="G55" s="79" t="n">
        <f aca="false">COUNTA(C6:C55)</f>
        <v>0</v>
      </c>
    </row>
    <row r="56" customFormat="false" ht="15" hidden="false" customHeight="true" outlineLevel="0" collapsed="false">
      <c r="A56" s="74" t="n">
        <v>51</v>
      </c>
      <c r="B56" s="75" t="n">
        <f aca="false">IF($B$2&lt;&gt;"", $B$2+50, "")</f>
        <v>46323</v>
      </c>
      <c r="C56" s="76"/>
      <c r="D56" s="86" t="s">
        <v>282</v>
      </c>
      <c r="E56" s="76"/>
      <c r="F56" s="78"/>
      <c r="G56" s="79" t="n">
        <f aca="false">COUNTA(C6:C56)</f>
        <v>0</v>
      </c>
    </row>
    <row r="57" customFormat="false" ht="15" hidden="false" customHeight="true" outlineLevel="0" collapsed="false">
      <c r="A57" s="74" t="n">
        <v>52</v>
      </c>
      <c r="B57" s="75" t="n">
        <f aca="false">IF($B$2&lt;&gt;"", $B$2+51, "")</f>
        <v>46324</v>
      </c>
      <c r="C57" s="76"/>
      <c r="D57" s="86" t="s">
        <v>282</v>
      </c>
      <c r="E57" s="76"/>
      <c r="F57" s="78"/>
      <c r="G57" s="79" t="n">
        <f aca="false">COUNTA(C6:C57)</f>
        <v>0</v>
      </c>
    </row>
    <row r="58" customFormat="false" ht="15" hidden="false" customHeight="true" outlineLevel="0" collapsed="false">
      <c r="A58" s="74" t="n">
        <v>53</v>
      </c>
      <c r="B58" s="75" t="n">
        <f aca="false">IF($B$2&lt;&gt;"", $B$2+52, "")</f>
        <v>46325</v>
      </c>
      <c r="C58" s="76"/>
      <c r="D58" s="86" t="s">
        <v>282</v>
      </c>
      <c r="E58" s="76"/>
      <c r="F58" s="78"/>
      <c r="G58" s="79" t="n">
        <f aca="false">COUNTA(C6:C58)</f>
        <v>0</v>
      </c>
    </row>
    <row r="59" customFormat="false" ht="15" hidden="false" customHeight="true" outlineLevel="0" collapsed="false">
      <c r="A59" s="74" t="n">
        <v>54</v>
      </c>
      <c r="B59" s="75" t="n">
        <f aca="false">IF($B$2&lt;&gt;"", $B$2+53, "")</f>
        <v>46326</v>
      </c>
      <c r="C59" s="76"/>
      <c r="D59" s="86" t="s">
        <v>282</v>
      </c>
      <c r="E59" s="76"/>
      <c r="F59" s="78"/>
      <c r="G59" s="79" t="n">
        <f aca="false">COUNTA(C6:C59)</f>
        <v>0</v>
      </c>
    </row>
    <row r="60" customFormat="false" ht="15" hidden="false" customHeight="true" outlineLevel="0" collapsed="false">
      <c r="A60" s="74" t="n">
        <v>55</v>
      </c>
      <c r="B60" s="75" t="n">
        <f aca="false">IF($B$2&lt;&gt;"", $B$2+54, "")</f>
        <v>46327</v>
      </c>
      <c r="C60" s="76"/>
      <c r="D60" s="86" t="s">
        <v>282</v>
      </c>
      <c r="E60" s="76"/>
      <c r="F60" s="78"/>
      <c r="G60" s="79" t="n">
        <f aca="false">COUNTA(C6:C60)</f>
        <v>0</v>
      </c>
    </row>
    <row r="61" customFormat="false" ht="15" hidden="false" customHeight="true" outlineLevel="0" collapsed="false">
      <c r="A61" s="74" t="n">
        <v>56</v>
      </c>
      <c r="B61" s="75" t="n">
        <f aca="false">IF($B$2&lt;&gt;"", $B$2+55, "")</f>
        <v>46328</v>
      </c>
      <c r="C61" s="76"/>
      <c r="D61" s="86" t="s">
        <v>282</v>
      </c>
      <c r="E61" s="76"/>
      <c r="F61" s="78"/>
      <c r="G61" s="79" t="n">
        <f aca="false">COUNTA(C6:C61)</f>
        <v>0</v>
      </c>
    </row>
    <row r="62" customFormat="false" ht="15" hidden="false" customHeight="true" outlineLevel="0" collapsed="false">
      <c r="A62" s="74" t="n">
        <v>57</v>
      </c>
      <c r="B62" s="75" t="n">
        <f aca="false">IF($B$2&lt;&gt;"", $B$2+56, "")</f>
        <v>46329</v>
      </c>
      <c r="C62" s="76"/>
      <c r="D62" s="86" t="s">
        <v>282</v>
      </c>
      <c r="E62" s="76"/>
      <c r="F62" s="78"/>
      <c r="G62" s="79" t="n">
        <f aca="false">COUNTA(C6:C62)</f>
        <v>0</v>
      </c>
    </row>
    <row r="63" customFormat="false" ht="15" hidden="false" customHeight="true" outlineLevel="0" collapsed="false">
      <c r="A63" s="74" t="n">
        <v>58</v>
      </c>
      <c r="B63" s="75" t="n">
        <f aca="false">IF($B$2&lt;&gt;"", $B$2+57, "")</f>
        <v>46330</v>
      </c>
      <c r="C63" s="76"/>
      <c r="D63" s="86" t="s">
        <v>282</v>
      </c>
      <c r="E63" s="76"/>
      <c r="F63" s="78"/>
      <c r="G63" s="79" t="n">
        <f aca="false">COUNTA(C6:C63)</f>
        <v>0</v>
      </c>
    </row>
    <row r="64" customFormat="false" ht="15" hidden="false" customHeight="true" outlineLevel="0" collapsed="false">
      <c r="A64" s="74" t="n">
        <v>59</v>
      </c>
      <c r="B64" s="75" t="n">
        <f aca="false">IF($B$2&lt;&gt;"", $B$2+58, "")</f>
        <v>46331</v>
      </c>
      <c r="C64" s="76"/>
      <c r="D64" s="86" t="s">
        <v>282</v>
      </c>
      <c r="E64" s="76"/>
      <c r="F64" s="78"/>
      <c r="G64" s="79" t="n">
        <f aca="false">COUNTA(C6:C64)</f>
        <v>0</v>
      </c>
    </row>
    <row r="65" customFormat="false" ht="15" hidden="false" customHeight="true" outlineLevel="0" collapsed="false">
      <c r="A65" s="80" t="n">
        <v>60</v>
      </c>
      <c r="B65" s="81" t="n">
        <f aca="false">IF($B$2&lt;&gt;"", $B$2+59, "")</f>
        <v>46332</v>
      </c>
      <c r="C65" s="82"/>
      <c r="D65" s="83" t="s">
        <v>283</v>
      </c>
      <c r="E65" s="82"/>
      <c r="F65" s="84"/>
      <c r="G65" s="85" t="n">
        <f aca="false">COUNTA(C6:C65)</f>
        <v>0</v>
      </c>
    </row>
    <row r="66" customFormat="false" ht="15" hidden="false" customHeight="true" outlineLevel="0" collapsed="false">
      <c r="A66" s="74" t="n">
        <v>61</v>
      </c>
      <c r="B66" s="75" t="n">
        <f aca="false">IF($B$2&lt;&gt;"", $B$2+60, "")</f>
        <v>46333</v>
      </c>
      <c r="C66" s="76"/>
      <c r="D66" s="87" t="s">
        <v>284</v>
      </c>
      <c r="E66" s="76"/>
      <c r="F66" s="78"/>
      <c r="G66" s="79" t="n">
        <f aca="false">COUNTA(C6:C66)</f>
        <v>0</v>
      </c>
    </row>
    <row r="67" customFormat="false" ht="15" hidden="false" customHeight="true" outlineLevel="0" collapsed="false">
      <c r="A67" s="74" t="n">
        <v>62</v>
      </c>
      <c r="B67" s="75" t="n">
        <f aca="false">IF($B$2&lt;&gt;"", $B$2+61, "")</f>
        <v>46334</v>
      </c>
      <c r="C67" s="76"/>
      <c r="D67" s="87" t="s">
        <v>284</v>
      </c>
      <c r="E67" s="76"/>
      <c r="F67" s="78"/>
      <c r="G67" s="79" t="n">
        <f aca="false">COUNTA(C6:C67)</f>
        <v>0</v>
      </c>
    </row>
    <row r="68" customFormat="false" ht="15" hidden="false" customHeight="true" outlineLevel="0" collapsed="false">
      <c r="A68" s="74" t="n">
        <v>63</v>
      </c>
      <c r="B68" s="75" t="n">
        <f aca="false">IF($B$2&lt;&gt;"", $B$2+62, "")</f>
        <v>46335</v>
      </c>
      <c r="C68" s="76"/>
      <c r="D68" s="87" t="s">
        <v>284</v>
      </c>
      <c r="E68" s="76"/>
      <c r="F68" s="78"/>
      <c r="G68" s="79" t="n">
        <f aca="false">COUNTA(C6:C68)</f>
        <v>0</v>
      </c>
    </row>
    <row r="69" customFormat="false" ht="15" hidden="false" customHeight="true" outlineLevel="0" collapsed="false">
      <c r="A69" s="74" t="n">
        <v>64</v>
      </c>
      <c r="B69" s="75" t="n">
        <f aca="false">IF($B$2&lt;&gt;"", $B$2+63, "")</f>
        <v>46336</v>
      </c>
      <c r="C69" s="76"/>
      <c r="D69" s="87" t="s">
        <v>284</v>
      </c>
      <c r="E69" s="76"/>
      <c r="F69" s="78"/>
      <c r="G69" s="79" t="n">
        <f aca="false">COUNTA(C6:C69)</f>
        <v>0</v>
      </c>
    </row>
    <row r="70" customFormat="false" ht="15" hidden="false" customHeight="true" outlineLevel="0" collapsed="false">
      <c r="A70" s="74" t="n">
        <v>65</v>
      </c>
      <c r="B70" s="75" t="n">
        <f aca="false">IF($B$2&lt;&gt;"", $B$2+64, "")</f>
        <v>46337</v>
      </c>
      <c r="C70" s="76"/>
      <c r="D70" s="87" t="s">
        <v>284</v>
      </c>
      <c r="E70" s="76"/>
      <c r="F70" s="78"/>
      <c r="G70" s="79" t="n">
        <f aca="false">COUNTA(C6:C70)</f>
        <v>0</v>
      </c>
    </row>
    <row r="71" customFormat="false" ht="15" hidden="false" customHeight="true" outlineLevel="0" collapsed="false">
      <c r="A71" s="74" t="n">
        <v>66</v>
      </c>
      <c r="B71" s="75" t="n">
        <f aca="false">IF($B$2&lt;&gt;"", $B$2+65, "")</f>
        <v>46338</v>
      </c>
      <c r="C71" s="76"/>
      <c r="D71" s="87" t="s">
        <v>284</v>
      </c>
      <c r="E71" s="76"/>
      <c r="F71" s="78"/>
      <c r="G71" s="79" t="n">
        <f aca="false">COUNTA(C6:C71)</f>
        <v>0</v>
      </c>
    </row>
    <row r="72" customFormat="false" ht="15" hidden="false" customHeight="true" outlineLevel="0" collapsed="false">
      <c r="A72" s="74" t="n">
        <v>67</v>
      </c>
      <c r="B72" s="75" t="n">
        <f aca="false">IF($B$2&lt;&gt;"", $B$2+66, "")</f>
        <v>46339</v>
      </c>
      <c r="C72" s="76"/>
      <c r="D72" s="87" t="s">
        <v>284</v>
      </c>
      <c r="E72" s="76"/>
      <c r="F72" s="78"/>
      <c r="G72" s="79" t="n">
        <f aca="false">COUNTA(C6:C72)</f>
        <v>0</v>
      </c>
    </row>
    <row r="73" customFormat="false" ht="15" hidden="false" customHeight="true" outlineLevel="0" collapsed="false">
      <c r="A73" s="74" t="n">
        <v>68</v>
      </c>
      <c r="B73" s="75" t="n">
        <f aca="false">IF($B$2&lt;&gt;"", $B$2+67, "")</f>
        <v>46340</v>
      </c>
      <c r="C73" s="76"/>
      <c r="D73" s="87" t="s">
        <v>284</v>
      </c>
      <c r="E73" s="76"/>
      <c r="F73" s="78"/>
      <c r="G73" s="79" t="n">
        <f aca="false">COUNTA(C6:C73)</f>
        <v>0</v>
      </c>
    </row>
    <row r="74" customFormat="false" ht="15" hidden="false" customHeight="true" outlineLevel="0" collapsed="false">
      <c r="A74" s="74" t="n">
        <v>69</v>
      </c>
      <c r="B74" s="75" t="n">
        <f aca="false">IF($B$2&lt;&gt;"", $B$2+68, "")</f>
        <v>46341</v>
      </c>
      <c r="C74" s="76"/>
      <c r="D74" s="87" t="s">
        <v>284</v>
      </c>
      <c r="E74" s="76"/>
      <c r="F74" s="78"/>
      <c r="G74" s="79" t="n">
        <f aca="false">COUNTA(C6:C74)</f>
        <v>0</v>
      </c>
    </row>
    <row r="75" customFormat="false" ht="15" hidden="false" customHeight="true" outlineLevel="0" collapsed="false">
      <c r="A75" s="74" t="n">
        <v>70</v>
      </c>
      <c r="B75" s="75" t="n">
        <f aca="false">IF($B$2&lt;&gt;"", $B$2+69, "")</f>
        <v>46342</v>
      </c>
      <c r="C75" s="76"/>
      <c r="D75" s="87" t="s">
        <v>284</v>
      </c>
      <c r="E75" s="76"/>
      <c r="F75" s="78"/>
      <c r="G75" s="79" t="n">
        <f aca="false">COUNTA(C6:C75)</f>
        <v>0</v>
      </c>
    </row>
    <row r="76" customFormat="false" ht="15" hidden="false" customHeight="true" outlineLevel="0" collapsed="false">
      <c r="A76" s="74" t="n">
        <v>71</v>
      </c>
      <c r="B76" s="75" t="n">
        <f aca="false">IF($B$2&lt;&gt;"", $B$2+70, "")</f>
        <v>46343</v>
      </c>
      <c r="C76" s="76"/>
      <c r="D76" s="87" t="s">
        <v>284</v>
      </c>
      <c r="E76" s="76"/>
      <c r="F76" s="78"/>
      <c r="G76" s="79" t="n">
        <f aca="false">COUNTA(C6:C76)</f>
        <v>0</v>
      </c>
    </row>
    <row r="77" customFormat="false" ht="15" hidden="false" customHeight="true" outlineLevel="0" collapsed="false">
      <c r="A77" s="74" t="n">
        <v>72</v>
      </c>
      <c r="B77" s="75" t="n">
        <f aca="false">IF($B$2&lt;&gt;"", $B$2+71, "")</f>
        <v>46344</v>
      </c>
      <c r="C77" s="76"/>
      <c r="D77" s="87" t="s">
        <v>284</v>
      </c>
      <c r="E77" s="76"/>
      <c r="F77" s="78"/>
      <c r="G77" s="79" t="n">
        <f aca="false">COUNTA(C6:C77)</f>
        <v>0</v>
      </c>
    </row>
    <row r="78" customFormat="false" ht="15" hidden="false" customHeight="true" outlineLevel="0" collapsed="false">
      <c r="A78" s="74" t="n">
        <v>73</v>
      </c>
      <c r="B78" s="75" t="n">
        <f aca="false">IF($B$2&lt;&gt;"", $B$2+72, "")</f>
        <v>46345</v>
      </c>
      <c r="C78" s="76"/>
      <c r="D78" s="87" t="s">
        <v>284</v>
      </c>
      <c r="E78" s="76"/>
      <c r="F78" s="78"/>
      <c r="G78" s="79" t="n">
        <f aca="false">COUNTA(C6:C78)</f>
        <v>0</v>
      </c>
    </row>
    <row r="79" customFormat="false" ht="15" hidden="false" customHeight="true" outlineLevel="0" collapsed="false">
      <c r="A79" s="74" t="n">
        <v>74</v>
      </c>
      <c r="B79" s="75" t="n">
        <f aca="false">IF($B$2&lt;&gt;"", $B$2+73, "")</f>
        <v>46346</v>
      </c>
      <c r="C79" s="76"/>
      <c r="D79" s="87" t="s">
        <v>284</v>
      </c>
      <c r="E79" s="76"/>
      <c r="F79" s="78"/>
      <c r="G79" s="79" t="n">
        <f aca="false">COUNTA(C6:C79)</f>
        <v>0</v>
      </c>
    </row>
    <row r="80" customFormat="false" ht="15" hidden="false" customHeight="true" outlineLevel="0" collapsed="false">
      <c r="A80" s="74" t="n">
        <v>75</v>
      </c>
      <c r="B80" s="75" t="n">
        <f aca="false">IF($B$2&lt;&gt;"", $B$2+74, "")</f>
        <v>46347</v>
      </c>
      <c r="C80" s="76"/>
      <c r="D80" s="87" t="s">
        <v>284</v>
      </c>
      <c r="E80" s="76"/>
      <c r="F80" s="78"/>
      <c r="G80" s="79" t="n">
        <f aca="false">COUNTA(C6:C80)</f>
        <v>0</v>
      </c>
    </row>
    <row r="81" customFormat="false" ht="15" hidden="false" customHeight="true" outlineLevel="0" collapsed="false">
      <c r="A81" s="74" t="n">
        <v>76</v>
      </c>
      <c r="B81" s="75" t="n">
        <f aca="false">IF($B$2&lt;&gt;"", $B$2+75, "")</f>
        <v>46348</v>
      </c>
      <c r="C81" s="76"/>
      <c r="D81" s="87" t="s">
        <v>284</v>
      </c>
      <c r="E81" s="76"/>
      <c r="F81" s="78"/>
      <c r="G81" s="79" t="n">
        <f aca="false">COUNTA(C6:C81)</f>
        <v>0</v>
      </c>
    </row>
    <row r="82" customFormat="false" ht="15" hidden="false" customHeight="true" outlineLevel="0" collapsed="false">
      <c r="A82" s="74" t="n">
        <v>77</v>
      </c>
      <c r="B82" s="75" t="n">
        <f aca="false">IF($B$2&lt;&gt;"", $B$2+76, "")</f>
        <v>46349</v>
      </c>
      <c r="C82" s="76"/>
      <c r="D82" s="87" t="s">
        <v>284</v>
      </c>
      <c r="E82" s="76"/>
      <c r="F82" s="78"/>
      <c r="G82" s="79" t="n">
        <f aca="false">COUNTA(C6:C82)</f>
        <v>0</v>
      </c>
    </row>
    <row r="83" customFormat="false" ht="15" hidden="false" customHeight="true" outlineLevel="0" collapsed="false">
      <c r="A83" s="74" t="n">
        <v>78</v>
      </c>
      <c r="B83" s="75" t="n">
        <f aca="false">IF($B$2&lt;&gt;"", $B$2+77, "")</f>
        <v>46350</v>
      </c>
      <c r="C83" s="76"/>
      <c r="D83" s="87" t="s">
        <v>284</v>
      </c>
      <c r="E83" s="76"/>
      <c r="F83" s="78"/>
      <c r="G83" s="79" t="n">
        <f aca="false">COUNTA(C6:C83)</f>
        <v>0</v>
      </c>
    </row>
    <row r="84" customFormat="false" ht="15" hidden="false" customHeight="true" outlineLevel="0" collapsed="false">
      <c r="A84" s="74" t="n">
        <v>79</v>
      </c>
      <c r="B84" s="75" t="n">
        <f aca="false">IF($B$2&lt;&gt;"", $B$2+78, "")</f>
        <v>46351</v>
      </c>
      <c r="C84" s="76"/>
      <c r="D84" s="87" t="s">
        <v>284</v>
      </c>
      <c r="E84" s="76"/>
      <c r="F84" s="78"/>
      <c r="G84" s="79" t="n">
        <f aca="false">COUNTA(C6:C84)</f>
        <v>0</v>
      </c>
    </row>
    <row r="85" customFormat="false" ht="15" hidden="false" customHeight="true" outlineLevel="0" collapsed="false">
      <c r="A85" s="74" t="n">
        <v>80</v>
      </c>
      <c r="B85" s="75" t="n">
        <f aca="false">IF($B$2&lt;&gt;"", $B$2+79, "")</f>
        <v>46352</v>
      </c>
      <c r="C85" s="76"/>
      <c r="D85" s="87" t="s">
        <v>284</v>
      </c>
      <c r="E85" s="76"/>
      <c r="F85" s="78"/>
      <c r="G85" s="79" t="n">
        <f aca="false">COUNTA(C6:C85)</f>
        <v>0</v>
      </c>
    </row>
    <row r="86" customFormat="false" ht="15" hidden="false" customHeight="true" outlineLevel="0" collapsed="false">
      <c r="A86" s="74" t="n">
        <v>81</v>
      </c>
      <c r="B86" s="75" t="n">
        <f aca="false">IF($B$2&lt;&gt;"", $B$2+80, "")</f>
        <v>46353</v>
      </c>
      <c r="C86" s="76"/>
      <c r="D86" s="87" t="s">
        <v>284</v>
      </c>
      <c r="E86" s="76"/>
      <c r="F86" s="78"/>
      <c r="G86" s="79" t="n">
        <f aca="false">COUNTA(C6:C86)</f>
        <v>0</v>
      </c>
    </row>
    <row r="87" customFormat="false" ht="15" hidden="false" customHeight="true" outlineLevel="0" collapsed="false">
      <c r="A87" s="74" t="n">
        <v>82</v>
      </c>
      <c r="B87" s="75" t="n">
        <f aca="false">IF($B$2&lt;&gt;"", $B$2+81, "")</f>
        <v>46354</v>
      </c>
      <c r="C87" s="76"/>
      <c r="D87" s="87" t="s">
        <v>284</v>
      </c>
      <c r="E87" s="76"/>
      <c r="F87" s="78"/>
      <c r="G87" s="79" t="n">
        <f aca="false">COUNTA(C6:C87)</f>
        <v>0</v>
      </c>
    </row>
    <row r="88" customFormat="false" ht="15" hidden="false" customHeight="true" outlineLevel="0" collapsed="false">
      <c r="A88" s="74" t="n">
        <v>83</v>
      </c>
      <c r="B88" s="75" t="n">
        <f aca="false">IF($B$2&lt;&gt;"", $B$2+82, "")</f>
        <v>46355</v>
      </c>
      <c r="C88" s="76"/>
      <c r="D88" s="87" t="s">
        <v>284</v>
      </c>
      <c r="E88" s="76"/>
      <c r="F88" s="78"/>
      <c r="G88" s="79" t="n">
        <f aca="false">COUNTA(C6:C88)</f>
        <v>0</v>
      </c>
    </row>
    <row r="89" customFormat="false" ht="15" hidden="false" customHeight="true" outlineLevel="0" collapsed="false">
      <c r="A89" s="74" t="n">
        <v>84</v>
      </c>
      <c r="B89" s="75" t="n">
        <f aca="false">IF($B$2&lt;&gt;"", $B$2+83, "")</f>
        <v>46356</v>
      </c>
      <c r="C89" s="76"/>
      <c r="D89" s="87" t="s">
        <v>284</v>
      </c>
      <c r="E89" s="76"/>
      <c r="F89" s="78"/>
      <c r="G89" s="79" t="n">
        <f aca="false">COUNTA(C6:C89)</f>
        <v>0</v>
      </c>
    </row>
    <row r="90" customFormat="false" ht="15" hidden="false" customHeight="true" outlineLevel="0" collapsed="false">
      <c r="A90" s="74" t="n">
        <v>85</v>
      </c>
      <c r="B90" s="75" t="n">
        <f aca="false">IF($B$2&lt;&gt;"", $B$2+84, "")</f>
        <v>46357</v>
      </c>
      <c r="C90" s="76"/>
      <c r="D90" s="87" t="s">
        <v>284</v>
      </c>
      <c r="E90" s="76"/>
      <c r="F90" s="78"/>
      <c r="G90" s="79" t="n">
        <f aca="false">COUNTA(C6:C90)</f>
        <v>0</v>
      </c>
    </row>
    <row r="91" customFormat="false" ht="15" hidden="false" customHeight="true" outlineLevel="0" collapsed="false">
      <c r="A91" s="74" t="n">
        <v>86</v>
      </c>
      <c r="B91" s="75" t="n">
        <f aca="false">IF($B$2&lt;&gt;"", $B$2+85, "")</f>
        <v>46358</v>
      </c>
      <c r="C91" s="76"/>
      <c r="D91" s="87" t="s">
        <v>284</v>
      </c>
      <c r="E91" s="76"/>
      <c r="F91" s="78"/>
      <c r="G91" s="79" t="n">
        <f aca="false">COUNTA(C6:C91)</f>
        <v>0</v>
      </c>
    </row>
    <row r="92" customFormat="false" ht="15" hidden="false" customHeight="true" outlineLevel="0" collapsed="false">
      <c r="A92" s="74" t="n">
        <v>87</v>
      </c>
      <c r="B92" s="75" t="n">
        <f aca="false">IF($B$2&lt;&gt;"", $B$2+86, "")</f>
        <v>46359</v>
      </c>
      <c r="C92" s="76"/>
      <c r="D92" s="87" t="s">
        <v>284</v>
      </c>
      <c r="E92" s="76"/>
      <c r="F92" s="78"/>
      <c r="G92" s="79" t="n">
        <f aca="false">COUNTA(C6:C92)</f>
        <v>0</v>
      </c>
    </row>
    <row r="93" customFormat="false" ht="15" hidden="false" customHeight="true" outlineLevel="0" collapsed="false">
      <c r="A93" s="74" t="n">
        <v>88</v>
      </c>
      <c r="B93" s="75" t="n">
        <f aca="false">IF($B$2&lt;&gt;"", $B$2+87, "")</f>
        <v>46360</v>
      </c>
      <c r="C93" s="76"/>
      <c r="D93" s="87" t="s">
        <v>284</v>
      </c>
      <c r="E93" s="76"/>
      <c r="F93" s="78"/>
      <c r="G93" s="79" t="n">
        <f aca="false">COUNTA(C6:C93)</f>
        <v>0</v>
      </c>
    </row>
    <row r="94" customFormat="false" ht="15" hidden="false" customHeight="true" outlineLevel="0" collapsed="false">
      <c r="A94" s="74" t="n">
        <v>89</v>
      </c>
      <c r="B94" s="75" t="n">
        <f aca="false">IF($B$2&lt;&gt;"", $B$2+88, "")</f>
        <v>46361</v>
      </c>
      <c r="C94" s="76"/>
      <c r="D94" s="87" t="s">
        <v>284</v>
      </c>
      <c r="E94" s="76"/>
      <c r="F94" s="78"/>
      <c r="G94" s="79" t="n">
        <f aca="false">COUNTA(C6:C94)</f>
        <v>0</v>
      </c>
    </row>
    <row r="95" customFormat="false" ht="15" hidden="false" customHeight="true" outlineLevel="0" collapsed="false">
      <c r="A95" s="80" t="n">
        <v>90</v>
      </c>
      <c r="B95" s="81" t="n">
        <f aca="false">IF($B$2&lt;&gt;"", $B$2+89, "")</f>
        <v>46362</v>
      </c>
      <c r="C95" s="82"/>
      <c r="D95" s="83" t="s">
        <v>285</v>
      </c>
      <c r="E95" s="82"/>
      <c r="F95" s="84"/>
      <c r="G95" s="85" t="n">
        <f aca="false">COUNTA(C6:C95)</f>
        <v>0</v>
      </c>
    </row>
  </sheetData>
  <sheetProtection sheet="true" formatCells="false" formatColumns="false" formatRows="false" sort="false" autoFilter="false"/>
  <mergeCells count="3">
    <mergeCell ref="A1:G1"/>
    <mergeCell ref="C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8"/>
    <col collapsed="false" customWidth="true" hidden="false" outlineLevel="0" max="3" min="3" style="1" width="22"/>
    <col collapsed="false" customWidth="true" hidden="false" outlineLevel="0" max="4" min="4" style="1" width="34"/>
    <col collapsed="false" customWidth="true" hidden="false" outlineLevel="0" max="5" min="5" style="1" width="40"/>
    <col collapsed="false" customWidth="true" hidden="false" outlineLevel="0" max="6" min="6" style="1" width="30"/>
    <col collapsed="false" customWidth="true" hidden="false" outlineLevel="0" max="7" min="7" style="1" width="70"/>
    <col collapsed="false" customWidth="true" hidden="false" outlineLevel="0" max="8" min="8" style="1" width="38"/>
    <col collapsed="false" customWidth="true" hidden="false" outlineLevel="0" max="9" min="9" style="1" width="24"/>
  </cols>
  <sheetData>
    <row r="1" customFormat="false" ht="15" hidden="false" customHeight="true" outlineLevel="0" collapsed="false">
      <c r="A1" s="88" t="s">
        <v>286</v>
      </c>
    </row>
    <row r="2" customFormat="false" ht="15" hidden="false" customHeight="true" outlineLevel="0" collapsed="false">
      <c r="A2" s="89" t="s">
        <v>287</v>
      </c>
      <c r="B2" s="89" t="s">
        <v>288</v>
      </c>
      <c r="C2" s="89" t="s">
        <v>289</v>
      </c>
      <c r="D2" s="89" t="s">
        <v>290</v>
      </c>
      <c r="E2" s="89" t="s">
        <v>291</v>
      </c>
      <c r="F2" s="89" t="s">
        <v>292</v>
      </c>
      <c r="G2" s="89" t="s">
        <v>293</v>
      </c>
      <c r="H2" s="89" t="s">
        <v>294</v>
      </c>
      <c r="I2" s="89" t="s">
        <v>295</v>
      </c>
    </row>
    <row r="3" customFormat="false" ht="32.25" hidden="false" customHeight="true" outlineLevel="0" collapsed="false">
      <c r="A3" s="90" t="s">
        <v>4</v>
      </c>
      <c r="B3" s="90" t="s">
        <v>296</v>
      </c>
      <c r="C3" s="90" t="s">
        <v>297</v>
      </c>
      <c r="D3" s="90" t="s">
        <v>298</v>
      </c>
      <c r="E3" s="90" t="s">
        <v>299</v>
      </c>
      <c r="F3" s="90" t="s">
        <v>300</v>
      </c>
      <c r="G3" s="90" t="s">
        <v>301</v>
      </c>
      <c r="H3" s="90" t="s">
        <v>302</v>
      </c>
      <c r="I3" s="90" t="s">
        <v>303</v>
      </c>
    </row>
    <row r="4" customFormat="false" ht="21.75" hidden="false" customHeight="true" outlineLevel="0" collapsed="false">
      <c r="A4" s="90" t="s">
        <v>304</v>
      </c>
      <c r="B4" s="90" t="s">
        <v>305</v>
      </c>
      <c r="C4" s="90" t="s">
        <v>306</v>
      </c>
      <c r="D4" s="90" t="s">
        <v>307</v>
      </c>
      <c r="E4" s="90" t="s">
        <v>308</v>
      </c>
      <c r="F4" s="90" t="s">
        <v>300</v>
      </c>
      <c r="G4" s="90" t="s">
        <v>309</v>
      </c>
      <c r="H4" s="90" t="s">
        <v>310</v>
      </c>
      <c r="I4" s="90" t="s">
        <v>311</v>
      </c>
    </row>
    <row r="5" customFormat="false" ht="21.75" hidden="false" customHeight="true" outlineLevel="0" collapsed="false">
      <c r="A5" s="90" t="s">
        <v>312</v>
      </c>
      <c r="B5" s="90" t="s">
        <v>313</v>
      </c>
      <c r="C5" s="90" t="s">
        <v>314</v>
      </c>
      <c r="D5" s="90" t="s">
        <v>315</v>
      </c>
      <c r="E5" s="90" t="s">
        <v>316</v>
      </c>
      <c r="F5" s="90" t="s">
        <v>300</v>
      </c>
      <c r="G5" s="90" t="s">
        <v>317</v>
      </c>
      <c r="H5" s="90" t="s">
        <v>318</v>
      </c>
      <c r="I5" s="90" t="s">
        <v>319</v>
      </c>
    </row>
    <row r="6" customFormat="false" ht="21.75" hidden="false" customHeight="true" outlineLevel="0" collapsed="false">
      <c r="A6" s="90" t="s">
        <v>320</v>
      </c>
      <c r="B6" s="90" t="s">
        <v>321</v>
      </c>
      <c r="C6" s="90" t="s">
        <v>322</v>
      </c>
      <c r="D6" s="90" t="s">
        <v>323</v>
      </c>
      <c r="E6" s="90" t="s">
        <v>324</v>
      </c>
      <c r="F6" s="90" t="s">
        <v>300</v>
      </c>
      <c r="G6" s="90" t="s">
        <v>325</v>
      </c>
      <c r="H6" s="90" t="s">
        <v>326</v>
      </c>
      <c r="I6" s="90" t="s">
        <v>327</v>
      </c>
    </row>
    <row r="7" customFormat="false" ht="21.75" hidden="false" customHeight="true" outlineLevel="0" collapsed="false">
      <c r="A7" s="90" t="s">
        <v>328</v>
      </c>
      <c r="B7" s="90" t="s">
        <v>329</v>
      </c>
      <c r="C7" s="90" t="s">
        <v>330</v>
      </c>
      <c r="D7" s="90" t="s">
        <v>331</v>
      </c>
      <c r="E7" s="90" t="s">
        <v>332</v>
      </c>
      <c r="F7" s="90" t="s">
        <v>300</v>
      </c>
      <c r="G7" s="90" t="s">
        <v>333</v>
      </c>
      <c r="H7" s="90" t="s">
        <v>334</v>
      </c>
      <c r="I7" s="90" t="s">
        <v>335</v>
      </c>
    </row>
    <row r="8" customFormat="false" ht="21.75" hidden="false" customHeight="true" outlineLevel="0" collapsed="false">
      <c r="A8" s="90" t="s">
        <v>336</v>
      </c>
      <c r="B8" s="90" t="s">
        <v>337</v>
      </c>
      <c r="C8" s="90" t="s">
        <v>338</v>
      </c>
      <c r="D8" s="90" t="s">
        <v>339</v>
      </c>
      <c r="E8" s="90" t="s">
        <v>340</v>
      </c>
      <c r="F8" s="90" t="s">
        <v>300</v>
      </c>
      <c r="G8" s="90" t="s">
        <v>341</v>
      </c>
      <c r="H8" s="90" t="s">
        <v>342</v>
      </c>
      <c r="I8" s="90" t="s">
        <v>343</v>
      </c>
    </row>
    <row r="9" customFormat="false" ht="21.75" hidden="false" customHeight="true" outlineLevel="0" collapsed="false">
      <c r="A9" s="90" t="s">
        <v>344</v>
      </c>
      <c r="B9" s="90" t="s">
        <v>345</v>
      </c>
      <c r="C9" s="90" t="s">
        <v>314</v>
      </c>
      <c r="D9" s="90" t="s">
        <v>346</v>
      </c>
      <c r="E9" s="90" t="s">
        <v>347</v>
      </c>
      <c r="F9" s="90" t="s">
        <v>300</v>
      </c>
      <c r="G9" s="90" t="s">
        <v>348</v>
      </c>
      <c r="H9" s="90" t="s">
        <v>349</v>
      </c>
      <c r="I9" s="90" t="s">
        <v>350</v>
      </c>
    </row>
    <row r="10" customFormat="false" ht="21.75" hidden="false" customHeight="true" outlineLevel="0" collapsed="false">
      <c r="A10" s="90" t="s">
        <v>351</v>
      </c>
      <c r="B10" s="90" t="s">
        <v>352</v>
      </c>
      <c r="C10" s="90" t="s">
        <v>353</v>
      </c>
      <c r="D10" s="90" t="s">
        <v>354</v>
      </c>
      <c r="E10" s="90" t="s">
        <v>355</v>
      </c>
      <c r="F10" s="90" t="s">
        <v>300</v>
      </c>
      <c r="G10" s="90" t="s">
        <v>356</v>
      </c>
      <c r="H10" s="90" t="s">
        <v>357</v>
      </c>
      <c r="I10" s="90" t="s">
        <v>358</v>
      </c>
    </row>
    <row r="11" customFormat="false" ht="21.75" hidden="false" customHeight="true" outlineLevel="0" collapsed="false">
      <c r="A11" s="90" t="s">
        <v>359</v>
      </c>
      <c r="B11" s="90" t="s">
        <v>360</v>
      </c>
      <c r="C11" s="90" t="s">
        <v>361</v>
      </c>
      <c r="D11" s="90" t="s">
        <v>362</v>
      </c>
      <c r="E11" s="90" t="s">
        <v>363</v>
      </c>
      <c r="F11" s="90" t="s">
        <v>364</v>
      </c>
      <c r="G11" s="90" t="s">
        <v>365</v>
      </c>
      <c r="H11" s="90" t="s">
        <v>366</v>
      </c>
      <c r="I11" s="90" t="s">
        <v>367</v>
      </c>
    </row>
  </sheetData>
  <sheetProtection sheet="true" objects="true" scenarios="true" formatCells="false" formatColumns="false" formatRows="false" insertColumns="false" insertRows="false" deleteColumns="false" deleteRows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2026-09-11T21:30:47Z</dcterms:created>
  <dc:creator>openpyxl</dc:creator>
  <dc:description/>
  <dc:language>en-US</dc:language>
  <cp:lastModifiedBy/>
  <dcterms:modified xsi:type="dcterms:W3CDTF">2026-09-18T00:27:43Z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